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16380" windowHeight="8190" activeTab="0"/>
  </bookViews>
  <sheets>
    <sheet name="Komplett" sheetId="1" r:id="rId1"/>
    <sheet name="Rest" sheetId="2" r:id="rId2"/>
    <sheet name="Tabelle3" sheetId="3" r:id="rId3"/>
    <sheet name="Alt" sheetId="4" r:id="rId4"/>
    <sheet name="DV-IDENTITY-0" sheetId="5" state="hidden" r:id="rId5"/>
    <sheet name="DV-PURGATORY-Horizontal-0" sheetId="6" state="hidden" r:id="rId6"/>
  </sheets>
  <definedNames/>
  <calcPr fullCalcOnLoad="1"/>
</workbook>
</file>

<file path=xl/sharedStrings.xml><?xml version="1.0" encoding="utf-8"?>
<sst xmlns="http://schemas.openxmlformats.org/spreadsheetml/2006/main" count="295" uniqueCount="88">
  <si>
    <t>Auftrittsliste Gospelswingers 2011</t>
  </si>
  <si>
    <t>Tag</t>
  </si>
  <si>
    <t>Datum</t>
  </si>
  <si>
    <t>TREF</t>
  </si>
  <si>
    <t>BEG</t>
  </si>
  <si>
    <t>ND</t>
  </si>
  <si>
    <t>Name Event</t>
  </si>
  <si>
    <t>Adresse</t>
  </si>
  <si>
    <t>Stadt</t>
  </si>
  <si>
    <t>Status</t>
  </si>
  <si>
    <t>Bem</t>
  </si>
  <si>
    <t>Bremen</t>
  </si>
  <si>
    <t xml:space="preserve"> </t>
  </si>
  <si>
    <t>Sa</t>
  </si>
  <si>
    <t>Fr</t>
  </si>
  <si>
    <t>So</t>
  </si>
  <si>
    <t>Sa.</t>
  </si>
  <si>
    <t>OK</t>
  </si>
  <si>
    <t>Martinsgans</t>
  </si>
  <si>
    <t xml:space="preserve">Egestorff Stiftung </t>
  </si>
  <si>
    <t>Hochzeit Krallmann</t>
  </si>
  <si>
    <t>St. Marien</t>
  </si>
  <si>
    <t>Delmenhorst</t>
  </si>
  <si>
    <t>Konzert Michaeliskirche</t>
  </si>
  <si>
    <t>Stammestr. 57</t>
  </si>
  <si>
    <t>Hannover-Rickl.</t>
  </si>
  <si>
    <t>Sa.:</t>
  </si>
  <si>
    <t>Stuhr</t>
  </si>
  <si>
    <t>Weihnachtskonzert</t>
  </si>
  <si>
    <t>Hemelinger Kiche</t>
  </si>
  <si>
    <t>AAAAAHby7Sc=</t>
  </si>
  <si>
    <t>No</t>
  </si>
  <si>
    <t>Mo</t>
  </si>
  <si>
    <t>1.Chorprobe 2011</t>
  </si>
  <si>
    <t>BGH Hemelingen</t>
  </si>
  <si>
    <t>St</t>
  </si>
  <si>
    <t>Chor Kohlfahrt</t>
  </si>
  <si>
    <t>Chorwochenende</t>
  </si>
  <si>
    <t>Theaterwerkstatt</t>
  </si>
  <si>
    <t>Albstedt</t>
  </si>
  <si>
    <t>Hochzeit Henning Mertsch</t>
  </si>
  <si>
    <t>Horner Kirche</t>
  </si>
  <si>
    <t>AfroGospelFestival</t>
  </si>
  <si>
    <t>Stadeum</t>
  </si>
  <si>
    <t>Stade</t>
  </si>
  <si>
    <t>Bahnhofstr 2</t>
  </si>
  <si>
    <t>Hambergen</t>
  </si>
  <si>
    <t>Hochzeit Fischbach</t>
  </si>
  <si>
    <t>Hochzeit Gerwer</t>
  </si>
  <si>
    <t>Remberti Kirche</t>
  </si>
  <si>
    <t>Kirche Oberneuland</t>
  </si>
  <si>
    <t>Martini Kirche</t>
  </si>
  <si>
    <t>Hannover</t>
  </si>
  <si>
    <t>Hochzeit Draeger</t>
  </si>
  <si>
    <t>Tritonia</t>
  </si>
  <si>
    <t>Haus Tritonia</t>
  </si>
  <si>
    <t>Sommerkonzert</t>
  </si>
  <si>
    <t>Zions Kirche</t>
  </si>
  <si>
    <t>Hemelinger Markt</t>
  </si>
  <si>
    <t>Hochzeit Strahmann</t>
  </si>
  <si>
    <t>Hochzeit Köhler</t>
  </si>
  <si>
    <t>Findorffer Leistungsschau</t>
  </si>
  <si>
    <t>Marktplatz Findorff</t>
  </si>
  <si>
    <t>Gospelgottesdienst</t>
  </si>
  <si>
    <t>Norddeutsches Gospeltr.</t>
  </si>
  <si>
    <t>Versch.</t>
  </si>
  <si>
    <t>Marktkirche</t>
  </si>
  <si>
    <t>Hochzeit Gösecke</t>
  </si>
  <si>
    <t>St Pankratius Kirche</t>
  </si>
  <si>
    <t>Hochzeit Goeseke</t>
  </si>
  <si>
    <t>St. Pankratius Kirche</t>
  </si>
  <si>
    <t>Bürgerhaus Hem</t>
  </si>
  <si>
    <t>Auftritt Folarin Konz</t>
  </si>
  <si>
    <t>STADEUM</t>
  </si>
  <si>
    <t xml:space="preserve">Bahnhostr.2   PLZ  27729 </t>
  </si>
  <si>
    <t>Fr.</t>
  </si>
  <si>
    <t>Zion Kirche</t>
  </si>
  <si>
    <t>Bürgerhaus</t>
  </si>
  <si>
    <t>Hemelingen</t>
  </si>
  <si>
    <t>Flashmob Hochz</t>
  </si>
  <si>
    <t>via Janine</t>
  </si>
  <si>
    <t>Bederkesa</t>
  </si>
  <si>
    <t>Nordd  Gospeltreffen</t>
  </si>
  <si>
    <t>-</t>
  </si>
  <si>
    <t xml:space="preserve">Hochzeit  </t>
  </si>
  <si>
    <t>Vernissage Silvia Nullmeyer</t>
  </si>
  <si>
    <t>Villa Wisch Seb. Heerstr. 42</t>
  </si>
  <si>
    <t>Di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</si>
</sst>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  <numFmt numFmtId="168" formatCode="[$€-2]\ #,##0.00_);[Red]\([$€-2]\ #,##0.00\)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17"/>
      <name val="Calibri"/>
      <family val="2"/>
    </font>
    <font>
      <sz val="11"/>
      <name val="Calibri"/>
      <family val="2"/>
    </font>
    <font>
      <sz val="16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CD5B4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6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7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" fillId="28" borderId="0" applyNumberFormat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9" fontId="1" fillId="0" borderId="0" applyFill="0" applyBorder="0" applyAlignment="0" applyProtection="0"/>
    <xf numFmtId="0" fontId="30" fillId="32" borderId="0" applyNumberFormat="0" applyBorder="0" applyAlignment="0" applyProtection="0"/>
    <xf numFmtId="0" fontId="21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33" borderId="9" applyNumberFormat="0" applyAlignment="0" applyProtection="0"/>
  </cellStyleXfs>
  <cellXfs count="73">
    <xf numFmtId="0" fontId="0" fillId="0" borderId="0" xfId="0" applyAlignment="1">
      <alignment/>
    </xf>
    <xf numFmtId="0" fontId="3" fillId="34" borderId="0" xfId="46" applyNumberFormat="1" applyFont="1" applyFill="1" applyBorder="1" applyAlignment="1" applyProtection="1">
      <alignment/>
      <protection/>
    </xf>
    <xf numFmtId="0" fontId="4" fillId="34" borderId="0" xfId="46" applyNumberFormat="1" applyFont="1" applyFill="1" applyBorder="1" applyAlignment="1" applyProtection="1">
      <alignment/>
      <protection/>
    </xf>
    <xf numFmtId="0" fontId="5" fillId="34" borderId="0" xfId="0" applyFont="1" applyFill="1" applyAlignment="1">
      <alignment/>
    </xf>
    <xf numFmtId="0" fontId="3" fillId="34" borderId="10" xfId="46" applyNumberFormat="1" applyFont="1" applyFill="1" applyBorder="1" applyAlignment="1" applyProtection="1">
      <alignment horizontal="left"/>
      <protection/>
    </xf>
    <xf numFmtId="164" fontId="3" fillId="34" borderId="10" xfId="46" applyNumberFormat="1" applyFont="1" applyFill="1" applyBorder="1" applyAlignment="1" applyProtection="1">
      <alignment horizontal="left"/>
      <protection/>
    </xf>
    <xf numFmtId="0" fontId="3" fillId="34" borderId="11" xfId="46" applyNumberFormat="1" applyFont="1" applyFill="1" applyBorder="1" applyAlignment="1" applyProtection="1">
      <alignment horizontal="left"/>
      <protection/>
    </xf>
    <xf numFmtId="0" fontId="3" fillId="35" borderId="10" xfId="46" applyNumberFormat="1" applyFont="1" applyFill="1" applyBorder="1" applyAlignment="1" applyProtection="1">
      <alignment/>
      <protection/>
    </xf>
    <xf numFmtId="14" fontId="3" fillId="35" borderId="10" xfId="46" applyNumberFormat="1" applyFont="1" applyFill="1" applyBorder="1" applyAlignment="1" applyProtection="1">
      <alignment/>
      <protection/>
    </xf>
    <xf numFmtId="164" fontId="3" fillId="35" borderId="10" xfId="46" applyNumberFormat="1" applyFont="1" applyFill="1" applyBorder="1" applyAlignment="1" applyProtection="1">
      <alignment horizontal="right"/>
      <protection/>
    </xf>
    <xf numFmtId="0" fontId="3" fillId="34" borderId="10" xfId="46" applyNumberFormat="1" applyFont="1" applyFill="1" applyBorder="1" applyAlignment="1" applyProtection="1">
      <alignment vertical="top"/>
      <protection/>
    </xf>
    <xf numFmtId="0" fontId="5" fillId="0" borderId="10" xfId="0" applyFont="1" applyBorder="1" applyAlignment="1">
      <alignment/>
    </xf>
    <xf numFmtId="0" fontId="5" fillId="34" borderId="10" xfId="0" applyFont="1" applyFill="1" applyBorder="1" applyAlignment="1">
      <alignment/>
    </xf>
    <xf numFmtId="0" fontId="5" fillId="36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3" fillId="37" borderId="10" xfId="46" applyNumberFormat="1" applyFont="1" applyFill="1" applyBorder="1" applyAlignment="1" applyProtection="1">
      <alignment/>
      <protection/>
    </xf>
    <xf numFmtId="14" fontId="3" fillId="37" borderId="10" xfId="46" applyNumberFormat="1" applyFont="1" applyFill="1" applyBorder="1" applyAlignment="1" applyProtection="1">
      <alignment/>
      <protection/>
    </xf>
    <xf numFmtId="20" fontId="3" fillId="37" borderId="10" xfId="46" applyNumberFormat="1" applyFont="1" applyFill="1" applyBorder="1" applyAlignment="1" applyProtection="1">
      <alignment/>
      <protection/>
    </xf>
    <xf numFmtId="0" fontId="3" fillId="34" borderId="10" xfId="46" applyNumberFormat="1" applyFont="1" applyFill="1" applyBorder="1" applyAlignment="1" applyProtection="1">
      <alignment/>
      <protection/>
    </xf>
    <xf numFmtId="14" fontId="3" fillId="34" borderId="10" xfId="46" applyNumberFormat="1" applyFont="1" applyFill="1" applyBorder="1" applyAlignment="1" applyProtection="1">
      <alignment horizontal="right"/>
      <protection/>
    </xf>
    <xf numFmtId="164" fontId="3" fillId="34" borderId="10" xfId="46" applyNumberFormat="1" applyFont="1" applyFill="1" applyBorder="1" applyAlignment="1" applyProtection="1">
      <alignment/>
      <protection/>
    </xf>
    <xf numFmtId="0" fontId="3" fillId="0" borderId="10" xfId="46" applyNumberFormat="1" applyFont="1" applyFill="1" applyBorder="1" applyAlignment="1" applyProtection="1">
      <alignment/>
      <protection/>
    </xf>
    <xf numFmtId="14" fontId="3" fillId="0" borderId="10" xfId="46" applyNumberFormat="1" applyFont="1" applyFill="1" applyBorder="1" applyAlignment="1" applyProtection="1">
      <alignment horizontal="right"/>
      <protection/>
    </xf>
    <xf numFmtId="164" fontId="3" fillId="0" borderId="10" xfId="46" applyNumberFormat="1" applyFont="1" applyFill="1" applyBorder="1" applyAlignment="1" applyProtection="1">
      <alignment/>
      <protection/>
    </xf>
    <xf numFmtId="0" fontId="3" fillId="36" borderId="10" xfId="46" applyNumberFormat="1" applyFont="1" applyFill="1" applyBorder="1" applyAlignment="1" applyProtection="1">
      <alignment/>
      <protection/>
    </xf>
    <xf numFmtId="14" fontId="3" fillId="36" borderId="10" xfId="46" applyNumberFormat="1" applyFont="1" applyFill="1" applyBorder="1" applyAlignment="1" applyProtection="1">
      <alignment/>
      <protection/>
    </xf>
    <xf numFmtId="20" fontId="3" fillId="36" borderId="10" xfId="46" applyNumberFormat="1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0" fontId="2" fillId="28" borderId="0" xfId="46" applyNumberFormat="1" applyFont="1" applyBorder="1" applyAlignment="1" applyProtection="1">
      <alignment/>
      <protection/>
    </xf>
    <xf numFmtId="14" fontId="3" fillId="0" borderId="10" xfId="46" applyNumberFormat="1" applyFont="1" applyFill="1" applyBorder="1" applyAlignment="1" applyProtection="1">
      <alignment/>
      <protection/>
    </xf>
    <xf numFmtId="164" fontId="3" fillId="0" borderId="10" xfId="46" applyNumberFormat="1" applyFont="1" applyFill="1" applyBorder="1" applyAlignment="1" applyProtection="1">
      <alignment horizontal="right"/>
      <protection/>
    </xf>
    <xf numFmtId="20" fontId="3" fillId="0" borderId="10" xfId="46" applyNumberFormat="1" applyFont="1" applyFill="1" applyBorder="1" applyAlignment="1" applyProtection="1">
      <alignment/>
      <protection/>
    </xf>
    <xf numFmtId="14" fontId="0" fillId="0" borderId="0" xfId="0" applyNumberFormat="1" applyAlignment="1">
      <alignment/>
    </xf>
    <xf numFmtId="20" fontId="0" fillId="0" borderId="0" xfId="0" applyNumberFormat="1" applyAlignment="1">
      <alignment/>
    </xf>
    <xf numFmtId="0" fontId="3" fillId="38" borderId="0" xfId="47" applyFont="1" applyFill="1" applyAlignment="1">
      <alignment/>
    </xf>
    <xf numFmtId="0" fontId="4" fillId="38" borderId="0" xfId="47" applyFont="1" applyFill="1" applyAlignment="1">
      <alignment/>
    </xf>
    <xf numFmtId="0" fontId="38" fillId="38" borderId="0" xfId="52" applyFont="1" applyFill="1">
      <alignment/>
      <protection/>
    </xf>
    <xf numFmtId="0" fontId="21" fillId="0" borderId="0" xfId="52">
      <alignment/>
      <protection/>
    </xf>
    <xf numFmtId="0" fontId="3" fillId="38" borderId="12" xfId="47" applyFont="1" applyFill="1" applyBorder="1" applyAlignment="1">
      <alignment horizontal="left"/>
    </xf>
    <xf numFmtId="164" fontId="3" fillId="38" borderId="12" xfId="47" applyNumberFormat="1" applyFont="1" applyFill="1" applyBorder="1" applyAlignment="1">
      <alignment horizontal="left"/>
    </xf>
    <xf numFmtId="0" fontId="3" fillId="38" borderId="13" xfId="47" applyFont="1" applyFill="1" applyBorder="1" applyAlignment="1">
      <alignment horizontal="left"/>
    </xf>
    <xf numFmtId="0" fontId="3" fillId="13" borderId="12" xfId="47" applyFont="1" applyFill="1" applyBorder="1" applyAlignment="1">
      <alignment/>
    </xf>
    <xf numFmtId="14" fontId="3" fillId="13" borderId="12" xfId="47" applyNumberFormat="1" applyFont="1" applyFill="1" applyBorder="1" applyAlignment="1">
      <alignment/>
    </xf>
    <xf numFmtId="164" fontId="3" fillId="13" borderId="12" xfId="47" applyNumberFormat="1" applyFont="1" applyFill="1" applyBorder="1" applyAlignment="1">
      <alignment horizontal="right"/>
    </xf>
    <xf numFmtId="0" fontId="3" fillId="38" borderId="12" xfId="47" applyFont="1" applyFill="1" applyBorder="1" applyAlignment="1">
      <alignment vertical="top"/>
    </xf>
    <xf numFmtId="0" fontId="3" fillId="13" borderId="12" xfId="47" applyFont="1" applyFill="1" applyBorder="1" applyAlignment="1">
      <alignment/>
    </xf>
    <xf numFmtId="14" fontId="3" fillId="13" borderId="12" xfId="47" applyNumberFormat="1" applyFont="1" applyFill="1" applyBorder="1" applyAlignment="1">
      <alignment horizontal="right"/>
    </xf>
    <xf numFmtId="164" fontId="3" fillId="13" borderId="12" xfId="47" applyNumberFormat="1" applyFont="1" applyFill="1" applyBorder="1" applyAlignment="1">
      <alignment/>
    </xf>
    <xf numFmtId="20" fontId="3" fillId="13" borderId="12" xfId="47" applyNumberFormat="1" applyFont="1" applyFill="1" applyBorder="1" applyAlignment="1">
      <alignment/>
    </xf>
    <xf numFmtId="164" fontId="3" fillId="13" borderId="12" xfId="47" applyNumberFormat="1" applyFont="1" applyFill="1" applyBorder="1" applyAlignment="1">
      <alignment/>
    </xf>
    <xf numFmtId="0" fontId="5" fillId="0" borderId="12" xfId="52" applyFont="1" applyBorder="1">
      <alignment/>
      <protection/>
    </xf>
    <xf numFmtId="0" fontId="5" fillId="38" borderId="12" xfId="52" applyFont="1" applyFill="1" applyBorder="1">
      <alignment/>
      <protection/>
    </xf>
    <xf numFmtId="0" fontId="3" fillId="38" borderId="12" xfId="47" applyFont="1" applyFill="1" applyBorder="1" applyAlignment="1">
      <alignment/>
    </xf>
    <xf numFmtId="14" fontId="3" fillId="38" borderId="12" xfId="47" applyNumberFormat="1" applyFont="1" applyFill="1" applyBorder="1" applyAlignment="1">
      <alignment/>
    </xf>
    <xf numFmtId="20" fontId="3" fillId="38" borderId="12" xfId="47" applyNumberFormat="1" applyFont="1" applyFill="1" applyBorder="1" applyAlignment="1">
      <alignment/>
    </xf>
    <xf numFmtId="164" fontId="3" fillId="38" borderId="12" xfId="47" applyNumberFormat="1" applyFont="1" applyFill="1" applyBorder="1" applyAlignment="1">
      <alignment/>
    </xf>
    <xf numFmtId="0" fontId="38" fillId="0" borderId="12" xfId="52" applyFont="1" applyBorder="1">
      <alignment/>
      <protection/>
    </xf>
    <xf numFmtId="0" fontId="38" fillId="38" borderId="12" xfId="52" applyFont="1" applyFill="1" applyBorder="1">
      <alignment/>
      <protection/>
    </xf>
    <xf numFmtId="0" fontId="3" fillId="2" borderId="12" xfId="47" applyFont="1" applyFill="1" applyBorder="1" applyAlignment="1">
      <alignment/>
    </xf>
    <xf numFmtId="14" fontId="3" fillId="2" borderId="12" xfId="47" applyNumberFormat="1" applyFont="1" applyFill="1" applyBorder="1" applyAlignment="1">
      <alignment/>
    </xf>
    <xf numFmtId="20" fontId="3" fillId="2" borderId="12" xfId="47" applyNumberFormat="1" applyFont="1" applyFill="1" applyBorder="1" applyAlignment="1">
      <alignment/>
    </xf>
    <xf numFmtId="0" fontId="3" fillId="39" borderId="12" xfId="47" applyFont="1" applyFill="1" applyBorder="1" applyAlignment="1">
      <alignment/>
    </xf>
    <xf numFmtId="14" fontId="3" fillId="39" borderId="12" xfId="47" applyNumberFormat="1" applyFont="1" applyFill="1" applyBorder="1" applyAlignment="1">
      <alignment/>
    </xf>
    <xf numFmtId="20" fontId="3" fillId="39" borderId="12" xfId="47" applyNumberFormat="1" applyFont="1" applyFill="1" applyBorder="1" applyAlignment="1">
      <alignment/>
    </xf>
    <xf numFmtId="0" fontId="38" fillId="39" borderId="12" xfId="52" applyFont="1" applyFill="1" applyBorder="1">
      <alignment/>
      <protection/>
    </xf>
    <xf numFmtId="0" fontId="3" fillId="38" borderId="12" xfId="47" applyFont="1" applyFill="1" applyBorder="1" applyAlignment="1">
      <alignment/>
    </xf>
    <xf numFmtId="14" fontId="3" fillId="38" borderId="12" xfId="47" applyNumberFormat="1" applyFont="1" applyFill="1" applyBorder="1" applyAlignment="1">
      <alignment horizontal="right"/>
    </xf>
    <xf numFmtId="164" fontId="3" fillId="38" borderId="12" xfId="47" applyNumberFormat="1" applyFont="1" applyFill="1" applyBorder="1" applyAlignment="1">
      <alignment/>
    </xf>
    <xf numFmtId="0" fontId="38" fillId="0" borderId="0" xfId="52" applyFont="1">
      <alignment/>
      <protection/>
    </xf>
    <xf numFmtId="0" fontId="3" fillId="40" borderId="12" xfId="47" applyFont="1" applyFill="1" applyBorder="1" applyAlignment="1">
      <alignment/>
    </xf>
    <xf numFmtId="14" fontId="3" fillId="40" borderId="12" xfId="47" applyNumberFormat="1" applyFont="1" applyFill="1" applyBorder="1" applyAlignment="1">
      <alignment/>
    </xf>
    <xf numFmtId="20" fontId="3" fillId="40" borderId="12" xfId="47" applyNumberFormat="1" applyFont="1" applyFill="1" applyBorder="1" applyAlignment="1">
      <alignment/>
    </xf>
    <xf numFmtId="164" fontId="3" fillId="40" borderId="12" xfId="47" applyNumberFormat="1" applyFont="1" applyFill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xcel_BuiltIn_Gut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E64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elle3" displayName="Tabelle3" ref="A2:J4" totalsRowShown="0">
  <autoFilter ref="A2:J4"/>
  <tableColumns count="10">
    <tableColumn id="1" name="Tag"/>
    <tableColumn id="2" name="Datum"/>
    <tableColumn id="4" name="TREF"/>
    <tableColumn id="5" name="BEG"/>
    <tableColumn id="6" name="ND"/>
    <tableColumn id="7" name="Name Event"/>
    <tableColumn id="8" name="Adresse"/>
    <tableColumn id="9" name="Stadt"/>
    <tableColumn id="11" name="Status"/>
    <tableColumn id="3" name="Bem"/>
  </tableColumns>
  <tableStyleInfo name="TableStyleLight1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Relationship Id="rId3" Type="http://schemas.openxmlformats.org/officeDocument/2006/relationships/customProperty" Target="../customProperty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2"/>
  <sheetViews>
    <sheetView tabSelected="1" view="pageLayout" workbookViewId="0" topLeftCell="A7">
      <pane ySplit="1" topLeftCell="A1" activePane="bottomLeft" state="split"/>
      <selection pane="topLeft" activeCell="A24" sqref="A24"/>
      <selection pane="bottomLeft" activeCell="B31" sqref="B31:B32"/>
    </sheetView>
  </sheetViews>
  <sheetFormatPr defaultColWidth="11.421875" defaultRowHeight="15"/>
  <cols>
    <col min="1" max="1" width="4.57421875" style="0" customWidth="1"/>
    <col min="6" max="6" width="23.8515625" style="0" customWidth="1"/>
    <col min="7" max="7" width="23.421875" style="0" customWidth="1"/>
    <col min="8" max="8" width="15.7109375" style="0" customWidth="1"/>
    <col min="9" max="9" width="4.57421875" style="0" customWidth="1"/>
    <col min="10" max="10" width="5.140625" style="0" customWidth="1"/>
  </cols>
  <sheetData>
    <row r="1" spans="1:10" ht="21">
      <c r="A1" s="1"/>
      <c r="B1" s="2" t="s">
        <v>0</v>
      </c>
      <c r="C1" s="2"/>
      <c r="D1" s="2"/>
      <c r="E1" s="2"/>
      <c r="F1" s="2"/>
      <c r="G1" s="1"/>
      <c r="H1" s="1"/>
      <c r="I1" s="1"/>
      <c r="J1" s="3"/>
    </row>
    <row r="2" spans="1:10" ht="15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8</v>
      </c>
      <c r="I2" s="4" t="s">
        <v>35</v>
      </c>
      <c r="J2" s="6" t="s">
        <v>31</v>
      </c>
    </row>
    <row r="3" spans="1:10" ht="15">
      <c r="A3" s="21" t="s">
        <v>32</v>
      </c>
      <c r="B3" s="29">
        <v>40553</v>
      </c>
      <c r="C3" s="30"/>
      <c r="D3" s="30">
        <v>0.8333333333333334</v>
      </c>
      <c r="E3" s="30">
        <v>0.9166666666666666</v>
      </c>
      <c r="F3" s="21" t="s">
        <v>33</v>
      </c>
      <c r="G3" s="21" t="s">
        <v>34</v>
      </c>
      <c r="H3" s="21" t="s">
        <v>11</v>
      </c>
      <c r="I3" s="21" t="s">
        <v>17</v>
      </c>
      <c r="J3" s="10" t="s">
        <v>12</v>
      </c>
    </row>
    <row r="4" spans="1:10" ht="15">
      <c r="A4" s="21" t="s">
        <v>13</v>
      </c>
      <c r="B4" s="22">
        <v>40572</v>
      </c>
      <c r="C4" s="23">
        <v>0.625</v>
      </c>
      <c r="D4" s="23"/>
      <c r="E4" s="23">
        <v>0.9583333333333334</v>
      </c>
      <c r="F4" s="21" t="s">
        <v>36</v>
      </c>
      <c r="G4" s="21"/>
      <c r="H4" s="21"/>
      <c r="I4" s="21" t="s">
        <v>17</v>
      </c>
      <c r="J4" s="10"/>
    </row>
    <row r="5" spans="1:10" ht="15">
      <c r="A5" s="21" t="s">
        <v>14</v>
      </c>
      <c r="B5" s="29">
        <v>40613</v>
      </c>
      <c r="C5" s="31">
        <v>0.75</v>
      </c>
      <c r="D5" s="23"/>
      <c r="E5" s="23"/>
      <c r="F5" s="21" t="s">
        <v>37</v>
      </c>
      <c r="G5" s="21" t="s">
        <v>38</v>
      </c>
      <c r="H5" s="21" t="s">
        <v>39</v>
      </c>
      <c r="I5" s="21" t="s">
        <v>17</v>
      </c>
      <c r="J5" s="11"/>
    </row>
    <row r="6" spans="1:10" ht="15">
      <c r="A6" s="21" t="s">
        <v>13</v>
      </c>
      <c r="B6" s="29">
        <v>40614</v>
      </c>
      <c r="C6" s="21"/>
      <c r="D6" s="23"/>
      <c r="E6" s="23"/>
      <c r="F6" s="21" t="s">
        <v>37</v>
      </c>
      <c r="G6" s="21" t="s">
        <v>38</v>
      </c>
      <c r="H6" s="21" t="s">
        <v>39</v>
      </c>
      <c r="I6" s="21" t="s">
        <v>17</v>
      </c>
      <c r="J6" s="11"/>
    </row>
    <row r="7" spans="1:10" ht="15">
      <c r="A7" s="21" t="s">
        <v>15</v>
      </c>
      <c r="B7" s="29">
        <v>40615</v>
      </c>
      <c r="C7" s="21"/>
      <c r="D7" s="23"/>
      <c r="E7" s="23">
        <v>0.5</v>
      </c>
      <c r="F7" s="21" t="s">
        <v>37</v>
      </c>
      <c r="G7" s="21" t="s">
        <v>38</v>
      </c>
      <c r="H7" s="21" t="s">
        <v>39</v>
      </c>
      <c r="I7" s="21" t="s">
        <v>17</v>
      </c>
      <c r="J7" s="11"/>
    </row>
    <row r="8" spans="1:10" ht="15">
      <c r="A8" s="21" t="s">
        <v>13</v>
      </c>
      <c r="B8" s="29">
        <v>40628</v>
      </c>
      <c r="C8" s="31">
        <v>0.625</v>
      </c>
      <c r="D8" s="23">
        <v>0.6666666666666666</v>
      </c>
      <c r="E8" s="23" t="s">
        <v>12</v>
      </c>
      <c r="F8" s="21" t="s">
        <v>40</v>
      </c>
      <c r="G8" s="21" t="s">
        <v>41</v>
      </c>
      <c r="H8" s="21" t="s">
        <v>11</v>
      </c>
      <c r="I8" s="21" t="s">
        <v>17</v>
      </c>
      <c r="J8" s="11">
        <v>143</v>
      </c>
    </row>
    <row r="9" spans="1:10" ht="15">
      <c r="A9" s="21" t="s">
        <v>13</v>
      </c>
      <c r="B9" s="29">
        <v>40677</v>
      </c>
      <c r="C9" s="31">
        <v>0.6666666666666666</v>
      </c>
      <c r="D9" s="23">
        <v>0.8333333333333334</v>
      </c>
      <c r="E9" s="23"/>
      <c r="F9" s="21" t="s">
        <v>42</v>
      </c>
      <c r="G9" s="21" t="s">
        <v>43</v>
      </c>
      <c r="H9" s="21" t="s">
        <v>44</v>
      </c>
      <c r="I9" s="21" t="s">
        <v>17</v>
      </c>
      <c r="J9" s="11">
        <v>144</v>
      </c>
    </row>
    <row r="10" spans="1:10" ht="15">
      <c r="A10" s="21" t="s">
        <v>13</v>
      </c>
      <c r="B10" s="29">
        <v>40684</v>
      </c>
      <c r="C10" s="31">
        <v>0.6458333333333334</v>
      </c>
      <c r="D10" s="23">
        <v>0.6875</v>
      </c>
      <c r="E10" s="23"/>
      <c r="F10" s="21" t="s">
        <v>53</v>
      </c>
      <c r="G10" s="21" t="s">
        <v>45</v>
      </c>
      <c r="H10" s="21" t="s">
        <v>46</v>
      </c>
      <c r="I10" s="21" t="s">
        <v>17</v>
      </c>
      <c r="J10" s="12">
        <v>145</v>
      </c>
    </row>
    <row r="11" spans="1:10" ht="15">
      <c r="A11" s="21" t="s">
        <v>14</v>
      </c>
      <c r="B11" s="29">
        <v>40690</v>
      </c>
      <c r="C11" s="31">
        <v>0.8541666666666666</v>
      </c>
      <c r="D11" s="23">
        <v>0.8854166666666666</v>
      </c>
      <c r="E11" s="23"/>
      <c r="F11" s="21" t="s">
        <v>54</v>
      </c>
      <c r="G11" s="21" t="s">
        <v>55</v>
      </c>
      <c r="H11" s="21" t="s">
        <v>11</v>
      </c>
      <c r="I11" s="21" t="s">
        <v>17</v>
      </c>
      <c r="J11" s="11">
        <v>146</v>
      </c>
    </row>
    <row r="12" spans="1:10" ht="15">
      <c r="A12" s="21" t="s">
        <v>13</v>
      </c>
      <c r="B12" s="29">
        <v>40691</v>
      </c>
      <c r="C12" s="31">
        <v>0.625</v>
      </c>
      <c r="D12" s="23">
        <v>0.6666666666666666</v>
      </c>
      <c r="E12" s="23"/>
      <c r="F12" s="21" t="s">
        <v>47</v>
      </c>
      <c r="G12" s="21" t="s">
        <v>49</v>
      </c>
      <c r="H12" s="21" t="s">
        <v>11</v>
      </c>
      <c r="I12" s="21" t="s">
        <v>17</v>
      </c>
      <c r="J12" s="11">
        <v>147</v>
      </c>
    </row>
    <row r="13" spans="1:10" ht="15">
      <c r="A13" s="21" t="s">
        <v>15</v>
      </c>
      <c r="B13" s="29">
        <v>40699</v>
      </c>
      <c r="C13" s="31">
        <v>0.75</v>
      </c>
      <c r="D13" s="23">
        <v>0.7916666666666666</v>
      </c>
      <c r="E13" s="23">
        <v>0.875</v>
      </c>
      <c r="F13" s="21" t="s">
        <v>56</v>
      </c>
      <c r="G13" s="21" t="s">
        <v>57</v>
      </c>
      <c r="H13" s="21" t="s">
        <v>11</v>
      </c>
      <c r="I13" s="21" t="s">
        <v>17</v>
      </c>
      <c r="J13" s="11">
        <v>148</v>
      </c>
    </row>
    <row r="14" spans="1:10" ht="15">
      <c r="A14" s="21" t="s">
        <v>13</v>
      </c>
      <c r="B14" s="29">
        <v>40719</v>
      </c>
      <c r="C14" s="31">
        <v>0.5625</v>
      </c>
      <c r="D14" s="23">
        <v>0.6041666666666666</v>
      </c>
      <c r="E14" s="23">
        <v>0.6458333333333334</v>
      </c>
      <c r="F14" s="21" t="s">
        <v>58</v>
      </c>
      <c r="G14" s="21" t="s">
        <v>34</v>
      </c>
      <c r="H14" s="21" t="s">
        <v>11</v>
      </c>
      <c r="I14" s="21" t="s">
        <v>17</v>
      </c>
      <c r="J14" s="11">
        <v>149</v>
      </c>
    </row>
    <row r="15" spans="1:10" ht="15">
      <c r="A15" s="21" t="s">
        <v>13</v>
      </c>
      <c r="B15" s="29">
        <v>40768</v>
      </c>
      <c r="C15" s="31">
        <v>0.6458333333333334</v>
      </c>
      <c r="D15" s="23">
        <v>0.6875</v>
      </c>
      <c r="E15" s="23"/>
      <c r="F15" s="21" t="s">
        <v>48</v>
      </c>
      <c r="G15" s="21" t="s">
        <v>50</v>
      </c>
      <c r="H15" s="21" t="s">
        <v>11</v>
      </c>
      <c r="I15" s="21" t="s">
        <v>17</v>
      </c>
      <c r="J15" s="11">
        <v>150</v>
      </c>
    </row>
    <row r="16" spans="1:10" ht="15">
      <c r="A16" s="21" t="s">
        <v>14</v>
      </c>
      <c r="B16" s="29">
        <v>40774</v>
      </c>
      <c r="C16" s="31">
        <v>0.625</v>
      </c>
      <c r="D16" s="23">
        <v>0.6666666666666666</v>
      </c>
      <c r="E16" s="23"/>
      <c r="F16" s="21" t="s">
        <v>59</v>
      </c>
      <c r="G16" s="21" t="s">
        <v>50</v>
      </c>
      <c r="H16" s="21" t="s">
        <v>11</v>
      </c>
      <c r="I16" s="21" t="s">
        <v>17</v>
      </c>
      <c r="J16" s="11">
        <v>151</v>
      </c>
    </row>
    <row r="17" spans="1:10" ht="15">
      <c r="A17" s="21" t="s">
        <v>13</v>
      </c>
      <c r="B17" s="29">
        <v>40775</v>
      </c>
      <c r="C17" s="31">
        <v>0.625</v>
      </c>
      <c r="D17" s="23">
        <v>0.6666666666666666</v>
      </c>
      <c r="E17" s="23"/>
      <c r="F17" s="21" t="s">
        <v>60</v>
      </c>
      <c r="G17" s="21" t="s">
        <v>51</v>
      </c>
      <c r="H17" s="21" t="s">
        <v>11</v>
      </c>
      <c r="I17" s="21" t="s">
        <v>17</v>
      </c>
      <c r="J17" s="11">
        <v>152</v>
      </c>
    </row>
    <row r="18" spans="1:10" ht="15">
      <c r="A18" s="21" t="s">
        <v>13</v>
      </c>
      <c r="B18" s="29">
        <v>40790</v>
      </c>
      <c r="C18" s="31">
        <v>0.375</v>
      </c>
      <c r="D18" s="23">
        <v>0.4166666666666667</v>
      </c>
      <c r="E18" s="23"/>
      <c r="F18" s="21" t="s">
        <v>61</v>
      </c>
      <c r="G18" s="21" t="s">
        <v>62</v>
      </c>
      <c r="H18" s="21" t="s">
        <v>11</v>
      </c>
      <c r="I18" s="21" t="s">
        <v>17</v>
      </c>
      <c r="J18" s="11">
        <v>153</v>
      </c>
    </row>
    <row r="19" spans="1:10" ht="15">
      <c r="A19" s="21" t="s">
        <v>15</v>
      </c>
      <c r="B19" s="29">
        <v>40790</v>
      </c>
      <c r="C19" s="31">
        <v>0.7083333333333334</v>
      </c>
      <c r="D19" s="23">
        <v>0.75</v>
      </c>
      <c r="E19" s="23">
        <v>0.8125</v>
      </c>
      <c r="F19" s="21" t="s">
        <v>63</v>
      </c>
      <c r="G19" s="21" t="s">
        <v>57</v>
      </c>
      <c r="H19" s="21" t="s">
        <v>11</v>
      </c>
      <c r="I19" s="21" t="s">
        <v>17</v>
      </c>
      <c r="J19" s="11">
        <v>154</v>
      </c>
    </row>
    <row r="20" spans="1:10" ht="15">
      <c r="A20" s="21" t="s">
        <v>14</v>
      </c>
      <c r="B20" s="29">
        <v>40795</v>
      </c>
      <c r="C20" s="31">
        <v>0.75</v>
      </c>
      <c r="D20" s="23"/>
      <c r="E20" s="23"/>
      <c r="F20" s="21" t="s">
        <v>64</v>
      </c>
      <c r="G20" s="21" t="s">
        <v>65</v>
      </c>
      <c r="H20" s="21" t="s">
        <v>52</v>
      </c>
      <c r="I20" s="21" t="s">
        <v>17</v>
      </c>
      <c r="J20" s="11">
        <v>155</v>
      </c>
    </row>
    <row r="21" spans="1:10" ht="15">
      <c r="A21" s="21" t="s">
        <v>13</v>
      </c>
      <c r="B21" s="29">
        <v>40796</v>
      </c>
      <c r="C21" s="31"/>
      <c r="D21" s="23"/>
      <c r="E21" s="23"/>
      <c r="F21" s="21" t="s">
        <v>64</v>
      </c>
      <c r="G21" s="21" t="s">
        <v>65</v>
      </c>
      <c r="H21" s="21" t="s">
        <v>52</v>
      </c>
      <c r="I21" s="21" t="s">
        <v>17</v>
      </c>
      <c r="J21" s="11"/>
    </row>
    <row r="22" spans="1:10" ht="15">
      <c r="A22" s="21" t="s">
        <v>15</v>
      </c>
      <c r="B22" s="29">
        <v>37145</v>
      </c>
      <c r="C22" s="31"/>
      <c r="D22" s="23"/>
      <c r="E22" s="23">
        <v>0.5</v>
      </c>
      <c r="F22" s="21" t="s">
        <v>64</v>
      </c>
      <c r="G22" s="21" t="s">
        <v>66</v>
      </c>
      <c r="H22" s="21" t="s">
        <v>52</v>
      </c>
      <c r="I22" s="21" t="s">
        <v>17</v>
      </c>
      <c r="J22" s="11">
        <v>156</v>
      </c>
    </row>
    <row r="23" spans="1:10" ht="15">
      <c r="A23" s="16" t="s">
        <v>14</v>
      </c>
      <c r="B23" s="16">
        <v>40858</v>
      </c>
      <c r="C23" s="17">
        <v>0.7916666666666666</v>
      </c>
      <c r="D23" s="17">
        <v>0.8333333333333334</v>
      </c>
      <c r="E23" s="17">
        <v>0.9270833333333334</v>
      </c>
      <c r="F23" s="15" t="s">
        <v>18</v>
      </c>
      <c r="G23" s="15" t="s">
        <v>19</v>
      </c>
      <c r="H23" s="15" t="s">
        <v>11</v>
      </c>
      <c r="I23" s="15" t="s">
        <v>17</v>
      </c>
      <c r="J23" s="14">
        <v>157</v>
      </c>
    </row>
    <row r="24" spans="1:10" ht="15">
      <c r="A24" s="18" t="s">
        <v>13</v>
      </c>
      <c r="B24" s="19">
        <v>40859</v>
      </c>
      <c r="C24" s="20">
        <v>0.5833333333333334</v>
      </c>
      <c r="D24" s="20">
        <v>0.625</v>
      </c>
      <c r="E24" s="20">
        <v>0.6458333333333334</v>
      </c>
      <c r="F24" s="18" t="s">
        <v>20</v>
      </c>
      <c r="G24" s="18" t="s">
        <v>21</v>
      </c>
      <c r="H24" s="18" t="s">
        <v>22</v>
      </c>
      <c r="I24" s="18" t="s">
        <v>17</v>
      </c>
      <c r="J24" s="14">
        <v>158</v>
      </c>
    </row>
    <row r="25" spans="1:10" ht="15">
      <c r="A25" s="29" t="s">
        <v>13</v>
      </c>
      <c r="B25" s="22">
        <v>40859</v>
      </c>
      <c r="C25" s="23"/>
      <c r="D25" s="23">
        <v>0.8125</v>
      </c>
      <c r="E25" s="23">
        <v>0.8958333333333334</v>
      </c>
      <c r="F25" s="21" t="s">
        <v>23</v>
      </c>
      <c r="G25" s="21" t="s">
        <v>24</v>
      </c>
      <c r="H25" s="21" t="s">
        <v>25</v>
      </c>
      <c r="I25" s="21" t="s">
        <v>17</v>
      </c>
      <c r="J25" s="14">
        <v>159</v>
      </c>
    </row>
    <row r="26" spans="1:10" ht="15">
      <c r="A26" s="21" t="s">
        <v>13</v>
      </c>
      <c r="B26" s="22">
        <v>40866</v>
      </c>
      <c r="C26" s="23"/>
      <c r="D26" s="23">
        <v>0.625</v>
      </c>
      <c r="E26" s="23">
        <v>0.6666666666666666</v>
      </c>
      <c r="F26" s="21" t="s">
        <v>67</v>
      </c>
      <c r="G26" s="21" t="s">
        <v>68</v>
      </c>
      <c r="H26" s="21" t="s">
        <v>27</v>
      </c>
      <c r="I26" s="21" t="s">
        <v>17</v>
      </c>
      <c r="J26" s="11">
        <v>160</v>
      </c>
    </row>
    <row r="27" spans="1:10" ht="15">
      <c r="A27" s="21" t="s">
        <v>87</v>
      </c>
      <c r="B27" s="22">
        <v>40876</v>
      </c>
      <c r="C27" s="23">
        <v>0.6145833333333334</v>
      </c>
      <c r="D27" s="23">
        <v>0.6458333333333334</v>
      </c>
      <c r="E27" s="23"/>
      <c r="F27" s="21" t="s">
        <v>85</v>
      </c>
      <c r="G27" s="21" t="s">
        <v>86</v>
      </c>
      <c r="H27" s="21" t="s">
        <v>11</v>
      </c>
      <c r="I27" s="21" t="s">
        <v>17</v>
      </c>
      <c r="J27" s="11">
        <v>161</v>
      </c>
    </row>
    <row r="28" spans="1:10" ht="15">
      <c r="A28" s="25" t="s">
        <v>15</v>
      </c>
      <c r="B28" s="25">
        <v>40888</v>
      </c>
      <c r="C28" s="26">
        <v>0.6458333333333334</v>
      </c>
      <c r="D28" s="26">
        <v>0.7083333333333334</v>
      </c>
      <c r="E28" s="26">
        <v>0.7916666666666666</v>
      </c>
      <c r="F28" s="24" t="s">
        <v>28</v>
      </c>
      <c r="G28" s="24" t="s">
        <v>29</v>
      </c>
      <c r="H28" s="24" t="s">
        <v>11</v>
      </c>
      <c r="I28" s="24" t="s">
        <v>17</v>
      </c>
      <c r="J28" s="11">
        <v>162</v>
      </c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27"/>
    </row>
    <row r="30" ht="15">
      <c r="A30" s="32"/>
    </row>
    <row r="32" ht="15">
      <c r="A32" s="32"/>
    </row>
    <row r="34" ht="15">
      <c r="A34" s="33"/>
    </row>
    <row r="35" ht="15">
      <c r="A35" s="33"/>
    </row>
    <row r="36" ht="15">
      <c r="A36" s="33"/>
    </row>
    <row r="37" ht="15">
      <c r="A37" s="33"/>
    </row>
    <row r="39" ht="15">
      <c r="A39" s="33"/>
    </row>
    <row r="40" ht="15">
      <c r="A40" s="33"/>
    </row>
    <row r="42" ht="15">
      <c r="A42" s="33"/>
    </row>
    <row r="43" ht="15">
      <c r="A43" s="33"/>
    </row>
    <row r="44" ht="15">
      <c r="A44" s="33"/>
    </row>
    <row r="45" ht="15">
      <c r="A45" s="33"/>
    </row>
    <row r="47" ht="15">
      <c r="A47" s="33"/>
    </row>
    <row r="48" ht="15">
      <c r="A48" s="33"/>
    </row>
    <row r="50" ht="15">
      <c r="A50" s="33"/>
    </row>
    <row r="52" ht="15">
      <c r="A52" s="33"/>
    </row>
  </sheetData>
  <sheetProtection selectLockedCells="1" selectUnlockedCells="1"/>
  <printOptions/>
  <pageMargins left="0.7083333333333334" right="0.7083333333333334" top="0.7875" bottom="0.7875" header="0.5118055555555555" footer="0.31527777777777777"/>
  <pageSetup horizontalDpi="300" verticalDpi="300" orientation="landscape" paperSize="9" r:id="rId1"/>
  <headerFooter alignWithMargins="0">
    <oddFooter>&amp;L&amp;D &amp;T&amp;C&amp;Z&amp;F</oddFooter>
  </headerFooter>
  <customProperties>
    <customPr name="DVSECTION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4:J18"/>
  <sheetViews>
    <sheetView zoomScalePageLayoutView="0" workbookViewId="0" topLeftCell="A1">
      <pane ySplit="1" topLeftCell="A1" activePane="bottomLeft" state="split"/>
      <selection pane="topLeft" activeCell="M24" sqref="M24"/>
      <selection pane="bottomLeft" activeCell="L27" sqref="L27"/>
    </sheetView>
  </sheetViews>
  <sheetFormatPr defaultColWidth="11.421875" defaultRowHeight="15"/>
  <cols>
    <col min="1" max="1" width="4.57421875" style="0" customWidth="1"/>
    <col min="6" max="6" width="23.8515625" style="0" customWidth="1"/>
    <col min="7" max="7" width="23.421875" style="0" customWidth="1"/>
    <col min="8" max="8" width="15.7109375" style="0" customWidth="1"/>
    <col min="9" max="9" width="4.57421875" style="0" customWidth="1"/>
    <col min="10" max="10" width="5.140625" style="0" customWidth="1"/>
  </cols>
  <sheetData>
    <row r="4" spans="1:10" ht="21">
      <c r="A4" s="1"/>
      <c r="B4" s="2" t="s">
        <v>0</v>
      </c>
      <c r="C4" s="2"/>
      <c r="D4" s="2"/>
      <c r="E4" s="2"/>
      <c r="F4" s="2"/>
      <c r="G4" s="1"/>
      <c r="H4" s="1"/>
      <c r="I4" s="1"/>
      <c r="J4" s="3"/>
    </row>
    <row r="5" spans="1:10" ht="15">
      <c r="A5" s="4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4" t="s">
        <v>6</v>
      </c>
      <c r="G5" s="4" t="s">
        <v>7</v>
      </c>
      <c r="H5" s="4" t="s">
        <v>8</v>
      </c>
      <c r="I5" s="4" t="s">
        <v>9</v>
      </c>
      <c r="J5" s="6" t="s">
        <v>10</v>
      </c>
    </row>
    <row r="6" spans="1:10" ht="15">
      <c r="A6" s="7"/>
      <c r="B6" s="8"/>
      <c r="C6" s="9"/>
      <c r="D6" s="9"/>
      <c r="E6" s="9"/>
      <c r="F6" s="7"/>
      <c r="G6" s="7"/>
      <c r="H6" s="7"/>
      <c r="I6" s="7"/>
      <c r="J6" s="10"/>
    </row>
    <row r="7" spans="1:10" ht="15">
      <c r="A7" s="15" t="s">
        <v>14</v>
      </c>
      <c r="B7" s="16">
        <v>40858</v>
      </c>
      <c r="C7" s="17">
        <v>0.7916666666666666</v>
      </c>
      <c r="D7" s="17">
        <v>0.8333333333333334</v>
      </c>
      <c r="E7" s="17">
        <v>0.9270833333333334</v>
      </c>
      <c r="F7" s="15" t="s">
        <v>18</v>
      </c>
      <c r="G7" s="15" t="s">
        <v>19</v>
      </c>
      <c r="H7" s="15" t="s">
        <v>11</v>
      </c>
      <c r="I7" s="15" t="s">
        <v>17</v>
      </c>
      <c r="J7" s="14"/>
    </row>
    <row r="8" spans="1:10" ht="15">
      <c r="A8" s="18" t="s">
        <v>13</v>
      </c>
      <c r="B8" s="19">
        <v>40859</v>
      </c>
      <c r="C8" s="20">
        <v>0.5833333333333334</v>
      </c>
      <c r="D8" s="20">
        <v>0.625</v>
      </c>
      <c r="E8" s="20">
        <v>0.6458333333333334</v>
      </c>
      <c r="F8" s="18" t="s">
        <v>20</v>
      </c>
      <c r="G8" s="18" t="s">
        <v>21</v>
      </c>
      <c r="H8" s="18" t="s">
        <v>22</v>
      </c>
      <c r="I8" s="18" t="s">
        <v>17</v>
      </c>
      <c r="J8" s="11"/>
    </row>
    <row r="9" spans="1:10" ht="15">
      <c r="A9" s="21" t="s">
        <v>16</v>
      </c>
      <c r="B9" s="22">
        <v>40859</v>
      </c>
      <c r="C9" s="23"/>
      <c r="D9" s="23">
        <v>0.8125</v>
      </c>
      <c r="E9" s="23">
        <v>0.8958333333333334</v>
      </c>
      <c r="F9" s="21" t="s">
        <v>23</v>
      </c>
      <c r="G9" s="21" t="s">
        <v>24</v>
      </c>
      <c r="H9" s="21" t="s">
        <v>25</v>
      </c>
      <c r="I9" s="21" t="s">
        <v>17</v>
      </c>
      <c r="J9" s="13"/>
    </row>
    <row r="10" spans="1:10" ht="15">
      <c r="A10" s="21" t="s">
        <v>26</v>
      </c>
      <c r="B10" s="22">
        <v>40866</v>
      </c>
      <c r="C10" s="23"/>
      <c r="D10" s="23">
        <v>0.625</v>
      </c>
      <c r="E10" s="23">
        <v>0.6666666666666666</v>
      </c>
      <c r="F10" s="21" t="s">
        <v>69</v>
      </c>
      <c r="G10" s="21" t="s">
        <v>70</v>
      </c>
      <c r="H10" s="21" t="s">
        <v>27</v>
      </c>
      <c r="I10" s="21" t="s">
        <v>17</v>
      </c>
      <c r="J10" s="13"/>
    </row>
    <row r="11" spans="1:10" ht="15">
      <c r="A11" s="24" t="s">
        <v>15</v>
      </c>
      <c r="B11" s="25">
        <v>40888</v>
      </c>
      <c r="C11" s="26">
        <v>0.6458333333333334</v>
      </c>
      <c r="D11" s="26">
        <v>0.7083333333333334</v>
      </c>
      <c r="E11" s="26">
        <v>0.7916666666666666</v>
      </c>
      <c r="F11" s="24" t="s">
        <v>28</v>
      </c>
      <c r="G11" s="24" t="s">
        <v>29</v>
      </c>
      <c r="H11" s="24" t="s">
        <v>11</v>
      </c>
      <c r="I11" s="24" t="s">
        <v>17</v>
      </c>
      <c r="J11" s="13"/>
    </row>
    <row r="12" spans="1:10" ht="15">
      <c r="A12" s="18"/>
      <c r="B12" s="19"/>
      <c r="C12" s="20"/>
      <c r="D12" s="20"/>
      <c r="E12" s="20"/>
      <c r="F12" s="18"/>
      <c r="G12" s="18"/>
      <c r="H12" s="18"/>
      <c r="I12" s="18"/>
      <c r="J12" s="11"/>
    </row>
    <row r="13" spans="1:10" ht="15">
      <c r="A13" s="21"/>
      <c r="B13" s="22"/>
      <c r="C13" s="23"/>
      <c r="D13" s="23"/>
      <c r="E13" s="23"/>
      <c r="F13" s="21"/>
      <c r="G13" s="21"/>
      <c r="H13" s="21"/>
      <c r="I13" s="21"/>
      <c r="J13" s="11"/>
    </row>
    <row r="14" spans="1:10" ht="15">
      <c r="A14" s="24"/>
      <c r="B14" s="25"/>
      <c r="C14" s="26"/>
      <c r="D14" s="26"/>
      <c r="E14" s="26"/>
      <c r="F14" s="24"/>
      <c r="G14" s="24"/>
      <c r="H14" s="24"/>
      <c r="I14" s="24"/>
      <c r="J14" s="13"/>
    </row>
    <row r="15" spans="1:10" ht="15">
      <c r="A15" s="18"/>
      <c r="B15" s="18"/>
      <c r="C15" s="18"/>
      <c r="D15" s="18"/>
      <c r="E15" s="18"/>
      <c r="F15" s="18"/>
      <c r="G15" s="18"/>
      <c r="H15" s="18"/>
      <c r="I15" s="18"/>
      <c r="J15" s="11"/>
    </row>
    <row r="16" spans="1:10" ht="15">
      <c r="A16" s="18"/>
      <c r="B16" s="18"/>
      <c r="C16" s="18"/>
      <c r="D16" s="18"/>
      <c r="E16" s="18"/>
      <c r="F16" s="18"/>
      <c r="G16" s="18"/>
      <c r="H16" s="18"/>
      <c r="I16" s="18"/>
      <c r="J16" s="11"/>
    </row>
    <row r="17" spans="1:10" ht="15">
      <c r="A17" s="18"/>
      <c r="B17" s="18"/>
      <c r="C17" s="18"/>
      <c r="D17" s="18"/>
      <c r="E17" s="18"/>
      <c r="F17" s="18"/>
      <c r="G17" s="18"/>
      <c r="H17" s="18"/>
      <c r="I17" s="18"/>
      <c r="J17" s="1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27"/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landscape" paperSize="9"/>
  <customProperties>
    <customPr name="DVSECTION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1" activePane="topLeft" state="split"/>
      <selection pane="topLeft" activeCell="A1" sqref="A1"/>
      <selection pane="bottomLeft" activeCell="A1" sqref="A1"/>
    </sheetView>
  </sheetViews>
  <sheetFormatPr defaultColWidth="11.421875" defaultRowHeight="15"/>
  <sheetData/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customProperties>
    <customPr name="DVSECTIONID" r:id="rId1"/>
  </customProperties>
</worksheet>
</file>

<file path=xl/worksheets/sheet4.xml><?xml version="1.0" encoding="utf-8"?>
<worksheet xmlns="http://schemas.openxmlformats.org/spreadsheetml/2006/main" xmlns:r="http://schemas.openxmlformats.org/officeDocument/2006/relationships">
  <dimension ref="A1:J27"/>
  <sheetViews>
    <sheetView zoomScalePageLayoutView="0" workbookViewId="0" topLeftCell="A1">
      <selection activeCell="I36" sqref="I36"/>
    </sheetView>
  </sheetViews>
  <sheetFormatPr defaultColWidth="11.421875" defaultRowHeight="15"/>
  <cols>
    <col min="1" max="1" width="4.57421875" style="37" customWidth="1"/>
    <col min="2" max="5" width="11.421875" style="37" customWidth="1"/>
    <col min="6" max="6" width="23.8515625" style="37" customWidth="1"/>
    <col min="7" max="7" width="23.421875" style="37" customWidth="1"/>
    <col min="8" max="8" width="13.421875" style="37" customWidth="1"/>
    <col min="9" max="9" width="4.57421875" style="37" customWidth="1"/>
    <col min="10" max="10" width="5.140625" style="37" customWidth="1"/>
    <col min="11" max="16384" width="11.421875" style="37" customWidth="1"/>
  </cols>
  <sheetData>
    <row r="1" spans="1:10" ht="21">
      <c r="A1" s="34"/>
      <c r="B1" s="35" t="s">
        <v>0</v>
      </c>
      <c r="C1" s="35"/>
      <c r="D1" s="35"/>
      <c r="E1" s="35"/>
      <c r="F1" s="35"/>
      <c r="G1" s="34"/>
      <c r="H1" s="34"/>
      <c r="I1" s="34"/>
      <c r="J1" s="36"/>
    </row>
    <row r="2" spans="1:10" ht="15">
      <c r="A2" s="38" t="s">
        <v>1</v>
      </c>
      <c r="B2" s="38" t="s">
        <v>2</v>
      </c>
      <c r="C2" s="39" t="s">
        <v>3</v>
      </c>
      <c r="D2" s="39" t="s">
        <v>4</v>
      </c>
      <c r="E2" s="39" t="s">
        <v>5</v>
      </c>
      <c r="F2" s="38" t="s">
        <v>6</v>
      </c>
      <c r="G2" s="38" t="s">
        <v>7</v>
      </c>
      <c r="H2" s="38" t="s">
        <v>8</v>
      </c>
      <c r="I2" s="38" t="s">
        <v>9</v>
      </c>
      <c r="J2" s="40" t="s">
        <v>10</v>
      </c>
    </row>
    <row r="3" spans="1:10" ht="15">
      <c r="A3" s="41" t="s">
        <v>32</v>
      </c>
      <c r="B3" s="42">
        <v>40553</v>
      </c>
      <c r="C3" s="43"/>
      <c r="D3" s="43">
        <v>0.8333333333333334</v>
      </c>
      <c r="E3" s="43">
        <v>0.9166666666666666</v>
      </c>
      <c r="F3" s="41" t="s">
        <v>33</v>
      </c>
      <c r="G3" s="41" t="s">
        <v>71</v>
      </c>
      <c r="H3" s="41" t="s">
        <v>11</v>
      </c>
      <c r="I3" s="41"/>
      <c r="J3" s="44" t="s">
        <v>12</v>
      </c>
    </row>
    <row r="4" spans="1:10" ht="15">
      <c r="A4" s="45" t="s">
        <v>13</v>
      </c>
      <c r="B4" s="46">
        <v>40572</v>
      </c>
      <c r="C4" s="47">
        <v>0.625</v>
      </c>
      <c r="D4" s="47"/>
      <c r="E4" s="47">
        <v>0.9583333333333334</v>
      </c>
      <c r="F4" s="45" t="s">
        <v>36</v>
      </c>
      <c r="G4" s="45"/>
      <c r="H4" s="45"/>
      <c r="I4" s="45"/>
      <c r="J4" s="44"/>
    </row>
    <row r="5" spans="1:10" ht="15">
      <c r="A5" s="41" t="s">
        <v>14</v>
      </c>
      <c r="B5" s="42">
        <v>40613</v>
      </c>
      <c r="C5" s="48">
        <v>0.7083333333333334</v>
      </c>
      <c r="D5" s="49">
        <v>0.75</v>
      </c>
      <c r="E5" s="49"/>
      <c r="F5" s="41" t="s">
        <v>37</v>
      </c>
      <c r="G5" s="41" t="s">
        <v>38</v>
      </c>
      <c r="H5" s="41" t="s">
        <v>39</v>
      </c>
      <c r="I5" s="41" t="s">
        <v>12</v>
      </c>
      <c r="J5" s="50"/>
    </row>
    <row r="6" spans="1:10" ht="15">
      <c r="A6" s="41" t="s">
        <v>13</v>
      </c>
      <c r="B6" s="42">
        <v>40614</v>
      </c>
      <c r="C6" s="41"/>
      <c r="D6" s="49"/>
      <c r="E6" s="49"/>
      <c r="F6" s="41" t="s">
        <v>37</v>
      </c>
      <c r="G6" s="41" t="s">
        <v>38</v>
      </c>
      <c r="H6" s="41" t="s">
        <v>39</v>
      </c>
      <c r="I6" s="41" t="s">
        <v>12</v>
      </c>
      <c r="J6" s="50"/>
    </row>
    <row r="7" spans="1:10" ht="15">
      <c r="A7" s="41" t="s">
        <v>15</v>
      </c>
      <c r="B7" s="42">
        <v>40615</v>
      </c>
      <c r="C7" s="41"/>
      <c r="D7" s="49">
        <v>0.5</v>
      </c>
      <c r="E7" s="49"/>
      <c r="F7" s="41" t="s">
        <v>37</v>
      </c>
      <c r="G7" s="41" t="s">
        <v>38</v>
      </c>
      <c r="H7" s="41" t="s">
        <v>39</v>
      </c>
      <c r="I7" s="41" t="s">
        <v>12</v>
      </c>
      <c r="J7" s="50"/>
    </row>
    <row r="8" spans="1:10" ht="15">
      <c r="A8" s="41" t="s">
        <v>13</v>
      </c>
      <c r="B8" s="42">
        <v>40628</v>
      </c>
      <c r="C8" s="48">
        <v>0.625</v>
      </c>
      <c r="D8" s="49">
        <v>0.6666666666666666</v>
      </c>
      <c r="E8" s="49"/>
      <c r="F8" s="41" t="s">
        <v>40</v>
      </c>
      <c r="G8" s="41" t="s">
        <v>41</v>
      </c>
      <c r="H8" s="41" t="s">
        <v>11</v>
      </c>
      <c r="I8" s="41" t="s">
        <v>12</v>
      </c>
      <c r="J8" s="50"/>
    </row>
    <row r="9" spans="1:10" ht="15">
      <c r="A9" s="41" t="s">
        <v>13</v>
      </c>
      <c r="B9" s="42">
        <v>40677</v>
      </c>
      <c r="C9" s="48">
        <v>0.6666666666666666</v>
      </c>
      <c r="D9" s="49">
        <v>0.8333333333333334</v>
      </c>
      <c r="E9" s="49"/>
      <c r="F9" s="41" t="s">
        <v>72</v>
      </c>
      <c r="G9" s="41" t="s">
        <v>73</v>
      </c>
      <c r="H9" s="41" t="s">
        <v>44</v>
      </c>
      <c r="I9" s="41" t="s">
        <v>12</v>
      </c>
      <c r="J9" s="50"/>
    </row>
    <row r="10" spans="1:10" ht="15">
      <c r="A10" s="41" t="s">
        <v>16</v>
      </c>
      <c r="B10" s="42">
        <v>40684</v>
      </c>
      <c r="C10" s="48">
        <v>0.6458333333333334</v>
      </c>
      <c r="D10" s="49">
        <v>0.6875</v>
      </c>
      <c r="E10" s="49"/>
      <c r="F10" s="41" t="s">
        <v>53</v>
      </c>
      <c r="G10" s="41" t="s">
        <v>74</v>
      </c>
      <c r="H10" s="41" t="s">
        <v>46</v>
      </c>
      <c r="I10" s="41" t="s">
        <v>12</v>
      </c>
      <c r="J10" s="51" t="s">
        <v>12</v>
      </c>
    </row>
    <row r="11" spans="1:10" ht="15">
      <c r="A11" s="41" t="s">
        <v>75</v>
      </c>
      <c r="B11" s="42">
        <v>40690</v>
      </c>
      <c r="C11" s="48">
        <v>0.8541666666666666</v>
      </c>
      <c r="D11" s="49">
        <v>0.8854166666666666</v>
      </c>
      <c r="E11" s="49"/>
      <c r="F11" s="41" t="s">
        <v>54</v>
      </c>
      <c r="G11" s="41" t="s">
        <v>55</v>
      </c>
      <c r="H11" s="41" t="s">
        <v>11</v>
      </c>
      <c r="I11" s="41" t="s">
        <v>12</v>
      </c>
      <c r="J11" s="50"/>
    </row>
    <row r="12" spans="1:10" ht="15">
      <c r="A12" s="41" t="s">
        <v>13</v>
      </c>
      <c r="B12" s="42">
        <v>40691</v>
      </c>
      <c r="C12" s="48">
        <v>0.625</v>
      </c>
      <c r="D12" s="49">
        <v>0.6666666666666666</v>
      </c>
      <c r="E12" s="49"/>
      <c r="F12" s="41" t="s">
        <v>47</v>
      </c>
      <c r="G12" s="41" t="s">
        <v>49</v>
      </c>
      <c r="H12" s="41" t="s">
        <v>11</v>
      </c>
      <c r="I12" s="41" t="s">
        <v>12</v>
      </c>
      <c r="J12" s="50"/>
    </row>
    <row r="13" spans="1:10" ht="15">
      <c r="A13" s="69" t="s">
        <v>15</v>
      </c>
      <c r="B13" s="70">
        <v>37047</v>
      </c>
      <c r="C13" s="71">
        <v>0.75</v>
      </c>
      <c r="D13" s="72">
        <v>0.7916666666666666</v>
      </c>
      <c r="E13" s="72">
        <v>0.875</v>
      </c>
      <c r="F13" s="69" t="s">
        <v>56</v>
      </c>
      <c r="G13" s="69" t="s">
        <v>76</v>
      </c>
      <c r="H13" s="69" t="s">
        <v>11</v>
      </c>
      <c r="I13" s="69" t="s">
        <v>17</v>
      </c>
      <c r="J13" s="51"/>
    </row>
    <row r="14" spans="1:10" ht="15">
      <c r="A14" s="69" t="s">
        <v>13</v>
      </c>
      <c r="B14" s="70">
        <v>40719</v>
      </c>
      <c r="C14" s="71">
        <v>0.5625</v>
      </c>
      <c r="D14" s="72">
        <v>0.6041666666666666</v>
      </c>
      <c r="E14" s="72">
        <v>0.6458333333333334</v>
      </c>
      <c r="F14" s="69" t="s">
        <v>58</v>
      </c>
      <c r="G14" s="69" t="s">
        <v>77</v>
      </c>
      <c r="H14" s="69" t="s">
        <v>78</v>
      </c>
      <c r="I14" s="69" t="s">
        <v>17</v>
      </c>
      <c r="J14" s="56"/>
    </row>
    <row r="15" spans="1:10" ht="15">
      <c r="A15" s="58" t="s">
        <v>13</v>
      </c>
      <c r="B15" s="59">
        <v>40768</v>
      </c>
      <c r="C15" s="60">
        <v>0.625</v>
      </c>
      <c r="D15" s="60">
        <v>0.6666666666666666</v>
      </c>
      <c r="E15" s="58"/>
      <c r="F15" s="58" t="s">
        <v>48</v>
      </c>
      <c r="G15" s="58" t="s">
        <v>50</v>
      </c>
      <c r="H15" s="58" t="s">
        <v>11</v>
      </c>
      <c r="I15" s="58" t="s">
        <v>17</v>
      </c>
      <c r="J15" s="57"/>
    </row>
    <row r="16" spans="1:10" ht="15">
      <c r="A16" s="52" t="s">
        <v>14</v>
      </c>
      <c r="B16" s="53">
        <v>40774</v>
      </c>
      <c r="C16" s="52"/>
      <c r="D16" s="52"/>
      <c r="E16" s="52"/>
      <c r="F16" s="52" t="s">
        <v>84</v>
      </c>
      <c r="G16" s="52" t="s">
        <v>50</v>
      </c>
      <c r="H16" s="52" t="s">
        <v>11</v>
      </c>
      <c r="I16" s="52" t="s">
        <v>17</v>
      </c>
      <c r="J16" s="57"/>
    </row>
    <row r="17" spans="1:10" ht="15">
      <c r="A17" s="61" t="s">
        <v>13</v>
      </c>
      <c r="B17" s="62">
        <v>40775</v>
      </c>
      <c r="C17" s="63">
        <v>0.625</v>
      </c>
      <c r="D17" s="63">
        <v>0.6666666666666666</v>
      </c>
      <c r="E17" s="63">
        <v>0.6875</v>
      </c>
      <c r="F17" s="61" t="s">
        <v>60</v>
      </c>
      <c r="G17" s="61" t="s">
        <v>51</v>
      </c>
      <c r="H17" s="61" t="s">
        <v>11</v>
      </c>
      <c r="I17" s="61" t="s">
        <v>17</v>
      </c>
      <c r="J17" s="64"/>
    </row>
    <row r="18" spans="1:10" ht="15">
      <c r="A18" s="52" t="s">
        <v>15</v>
      </c>
      <c r="B18" s="53">
        <v>40790</v>
      </c>
      <c r="C18" s="54">
        <v>0.7083333333333334</v>
      </c>
      <c r="D18" s="54">
        <v>0.75</v>
      </c>
      <c r="E18" s="54">
        <v>0.7916666666666666</v>
      </c>
      <c r="F18" s="52" t="s">
        <v>63</v>
      </c>
      <c r="G18" s="52" t="s">
        <v>76</v>
      </c>
      <c r="H18" s="52" t="s">
        <v>11</v>
      </c>
      <c r="I18" s="52" t="s">
        <v>17</v>
      </c>
      <c r="J18" s="56"/>
    </row>
    <row r="19" spans="1:10" ht="15">
      <c r="A19" s="61" t="s">
        <v>14</v>
      </c>
      <c r="B19" s="62">
        <v>40795</v>
      </c>
      <c r="C19" s="61"/>
      <c r="D19" s="61"/>
      <c r="E19" s="61"/>
      <c r="F19" s="61" t="s">
        <v>82</v>
      </c>
      <c r="G19" s="61"/>
      <c r="H19" s="61" t="s">
        <v>52</v>
      </c>
      <c r="I19" s="61" t="s">
        <v>17</v>
      </c>
      <c r="J19" s="64"/>
    </row>
    <row r="20" spans="1:10" ht="15">
      <c r="A20" s="61" t="s">
        <v>13</v>
      </c>
      <c r="B20" s="62">
        <v>40796</v>
      </c>
      <c r="C20" s="61"/>
      <c r="D20" s="61"/>
      <c r="E20" s="61"/>
      <c r="F20" s="61" t="s">
        <v>82</v>
      </c>
      <c r="G20" s="61"/>
      <c r="H20" s="61" t="s">
        <v>52</v>
      </c>
      <c r="I20" s="61" t="s">
        <v>17</v>
      </c>
      <c r="J20" s="64"/>
    </row>
    <row r="21" spans="1:10" ht="15">
      <c r="A21" s="61" t="s">
        <v>15</v>
      </c>
      <c r="B21" s="62">
        <v>40797</v>
      </c>
      <c r="C21" s="61"/>
      <c r="D21" s="61"/>
      <c r="E21" s="61"/>
      <c r="F21" s="61" t="s">
        <v>82</v>
      </c>
      <c r="G21" s="61"/>
      <c r="H21" s="61" t="s">
        <v>52</v>
      </c>
      <c r="I21" s="61" t="s">
        <v>17</v>
      </c>
      <c r="J21" s="64"/>
    </row>
    <row r="22" spans="1:10" ht="15">
      <c r="A22" s="65" t="s">
        <v>13</v>
      </c>
      <c r="B22" s="66">
        <v>40859</v>
      </c>
      <c r="C22" s="67"/>
      <c r="D22" s="67"/>
      <c r="E22" s="67"/>
      <c r="F22" s="65" t="s">
        <v>20</v>
      </c>
      <c r="G22" s="65" t="s">
        <v>12</v>
      </c>
      <c r="H22" s="65" t="s">
        <v>22</v>
      </c>
      <c r="I22" s="65" t="s">
        <v>17</v>
      </c>
      <c r="J22" s="56"/>
    </row>
    <row r="23" spans="1:10" ht="15">
      <c r="A23" s="61" t="s">
        <v>15</v>
      </c>
      <c r="B23" s="62">
        <v>40888</v>
      </c>
      <c r="C23" s="63">
        <v>0.6458333333333334</v>
      </c>
      <c r="D23" s="63">
        <v>0.7083333333333334</v>
      </c>
      <c r="E23" s="63">
        <v>0.7916666666666666</v>
      </c>
      <c r="F23" s="61" t="s">
        <v>28</v>
      </c>
      <c r="G23" s="61" t="s">
        <v>29</v>
      </c>
      <c r="H23" s="61" t="s">
        <v>11</v>
      </c>
      <c r="I23" s="61" t="s">
        <v>17</v>
      </c>
      <c r="J23" s="64"/>
    </row>
    <row r="24" spans="1:10" ht="15">
      <c r="A24" s="52"/>
      <c r="B24" s="52"/>
      <c r="C24" s="52"/>
      <c r="D24" s="52"/>
      <c r="E24" s="52"/>
      <c r="F24" s="52"/>
      <c r="G24" s="52"/>
      <c r="H24" s="52"/>
      <c r="I24" s="52"/>
      <c r="J24" s="56"/>
    </row>
    <row r="25" spans="1:10" ht="15">
      <c r="A25" s="52"/>
      <c r="B25" s="52"/>
      <c r="C25" s="52"/>
      <c r="D25" s="52"/>
      <c r="E25" s="52"/>
      <c r="F25" s="52"/>
      <c r="G25" s="52"/>
      <c r="H25" s="52"/>
      <c r="I25" s="52"/>
      <c r="J25" s="56"/>
    </row>
    <row r="26" spans="1:10" ht="15">
      <c r="A26" s="52"/>
      <c r="B26" s="52"/>
      <c r="C26" s="52"/>
      <c r="D26" s="52"/>
      <c r="E26" s="52"/>
      <c r="F26" s="52"/>
      <c r="G26" s="52"/>
      <c r="H26" s="52"/>
      <c r="I26" s="52"/>
      <c r="J26" s="56"/>
    </row>
    <row r="27" spans="1:10" ht="15">
      <c r="A27" s="34"/>
      <c r="B27" s="34"/>
      <c r="C27" s="34"/>
      <c r="D27" s="34"/>
      <c r="E27" s="34"/>
      <c r="F27" s="34"/>
      <c r="G27" s="34"/>
      <c r="H27" s="34"/>
      <c r="I27" s="34"/>
      <c r="J27" s="68"/>
    </row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customProperties>
    <customPr name="DVSECTIONID" r:id="rId3"/>
  </customProperties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V8"/>
  <sheetViews>
    <sheetView zoomScalePageLayoutView="0" workbookViewId="0" topLeftCell="A1">
      <pane ySplit="1" topLeftCell="A1" activePane="topLeft" state="split"/>
      <selection pane="topLeft" activeCell="AN2" sqref="AN2"/>
      <selection pane="bottomLeft" activeCell="A1" sqref="A1"/>
    </sheetView>
  </sheetViews>
  <sheetFormatPr defaultColWidth="11.421875" defaultRowHeight="15"/>
  <sheetData>
    <row r="1" spans="1:256" ht="15">
      <c r="A1">
        <f>IF(Komplett!1:1,"AAAAAE3+ewA=",0)</f>
        <v>0</v>
      </c>
      <c r="B1" t="e">
        <f>AND(Komplett!A1,"AAAAAE3+ewE=")</f>
        <v>#VALUE!</v>
      </c>
      <c r="C1" t="e">
        <f>AND(Komplett!B1,"AAAAAE3+ewI=")</f>
        <v>#VALUE!</v>
      </c>
      <c r="D1" t="e">
        <f>AND(Komplett!C1,"AAAAAE3+ewM=")</f>
        <v>#VALUE!</v>
      </c>
      <c r="E1" t="e">
        <f>AND(Komplett!D1,"AAAAAE3+ewQ=")</f>
        <v>#VALUE!</v>
      </c>
      <c r="F1" t="e">
        <f>AND(Komplett!E1,"AAAAAE3+ewU=")</f>
        <v>#VALUE!</v>
      </c>
      <c r="G1" t="e">
        <f>AND(Komplett!F1,"AAAAAE3+ewY=")</f>
        <v>#VALUE!</v>
      </c>
      <c r="H1" t="e">
        <f>AND(Komplett!G1,"AAAAAE3+ewc=")</f>
        <v>#VALUE!</v>
      </c>
      <c r="I1" t="e">
        <f>AND(Komplett!H1,"AAAAAE3+ewg=")</f>
        <v>#VALUE!</v>
      </c>
      <c r="J1" t="e">
        <f>AND(Komplett!I1,"AAAAAE3+ewk=")</f>
        <v>#VALUE!</v>
      </c>
      <c r="K1" t="e">
        <f>AND(Komplett!J1,"AAAAAE3+ewo=")</f>
        <v>#VALUE!</v>
      </c>
      <c r="L1">
        <f>IF(Komplett!2:2,"AAAAAE3+ews=",0)</f>
        <v>0</v>
      </c>
      <c r="M1" t="e">
        <f>AND(Komplett!A2,"AAAAAE3+eww=")</f>
        <v>#VALUE!</v>
      </c>
      <c r="N1" t="e">
        <f>AND(Komplett!B2,"AAAAAE3+ew0=")</f>
        <v>#VALUE!</v>
      </c>
      <c r="O1" t="e">
        <f>AND(Komplett!C2,"AAAAAE3+ew4=")</f>
        <v>#VALUE!</v>
      </c>
      <c r="P1" t="e">
        <f>AND(Komplett!D2,"AAAAAE3+ew8=")</f>
        <v>#VALUE!</v>
      </c>
      <c r="Q1" t="e">
        <f>AND(Komplett!E2,"AAAAAE3+exA=")</f>
        <v>#VALUE!</v>
      </c>
      <c r="R1" t="e">
        <f>AND(Komplett!F2,"AAAAAE3+exE=")</f>
        <v>#VALUE!</v>
      </c>
      <c r="S1" t="e">
        <f>AND(Komplett!G2,"AAAAAE3+exI=")</f>
        <v>#VALUE!</v>
      </c>
      <c r="T1" t="e">
        <f>AND(Komplett!H2,"AAAAAE3+exM=")</f>
        <v>#VALUE!</v>
      </c>
      <c r="U1" t="e">
        <f>AND(Komplett!I2,"AAAAAE3+exQ=")</f>
        <v>#VALUE!</v>
      </c>
      <c r="V1" t="e">
        <f>AND(Komplett!J2,"AAAAAE3+exU=")</f>
        <v>#VALUE!</v>
      </c>
      <c r="W1">
        <f>IF(Komplett!3:3,"AAAAAE3+exY=",0)</f>
        <v>0</v>
      </c>
      <c r="X1" t="e">
        <f>AND(Komplett!A3,"AAAAAE3+exc=")</f>
        <v>#VALUE!</v>
      </c>
      <c r="Y1" t="e">
        <f>AND(Komplett!B3,"AAAAAE3+exg=")</f>
        <v>#VALUE!</v>
      </c>
      <c r="Z1" t="e">
        <f>AND(Komplett!C3,"AAAAAE3+exk=")</f>
        <v>#VALUE!</v>
      </c>
      <c r="AA1" t="e">
        <f>AND(Komplett!D3,"AAAAAE3+exo=")</f>
        <v>#VALUE!</v>
      </c>
      <c r="AB1" t="e">
        <f>AND(Komplett!E3,"AAAAAE3+exs=")</f>
        <v>#VALUE!</v>
      </c>
      <c r="AC1" t="e">
        <f>AND(Komplett!F3,"AAAAAE3+exw=")</f>
        <v>#VALUE!</v>
      </c>
      <c r="AD1" t="e">
        <f>AND(Komplett!G3,"AAAAAE3+ex0=")</f>
        <v>#VALUE!</v>
      </c>
      <c r="AE1" t="e">
        <f>AND(Komplett!H3,"AAAAAE3+ex4=")</f>
        <v>#VALUE!</v>
      </c>
      <c r="AF1" t="e">
        <f>AND(Komplett!I3,"AAAAAE3+ex8=")</f>
        <v>#VALUE!</v>
      </c>
      <c r="AG1" t="e">
        <f>AND(Komplett!J3,"AAAAAE3+eyA=")</f>
        <v>#VALUE!</v>
      </c>
      <c r="AH1">
        <f>IF(Komplett!4:4,"AAAAAE3+eyE=",0)</f>
        <v>0</v>
      </c>
      <c r="AI1" t="e">
        <f>AND(Komplett!A4,"AAAAAE3+eyI=")</f>
        <v>#VALUE!</v>
      </c>
      <c r="AJ1" t="e">
        <f>AND(Komplett!B4,"AAAAAE3+eyM=")</f>
        <v>#VALUE!</v>
      </c>
      <c r="AK1" t="e">
        <f>AND(Komplett!C4,"AAAAAE3+eyQ=")</f>
        <v>#VALUE!</v>
      </c>
      <c r="AL1" t="e">
        <f>AND(Komplett!D4,"AAAAAE3+eyU=")</f>
        <v>#VALUE!</v>
      </c>
      <c r="AM1" t="e">
        <f>AND(Komplett!E4,"AAAAAE3+eyY=")</f>
        <v>#VALUE!</v>
      </c>
      <c r="AN1" t="e">
        <f>AND(Komplett!F4,"AAAAAE3+eyc=")</f>
        <v>#VALUE!</v>
      </c>
      <c r="AO1" t="e">
        <f>AND(Komplett!G4,"AAAAAE3+eyg=")</f>
        <v>#VALUE!</v>
      </c>
      <c r="AP1" t="e">
        <f>AND(Komplett!H4,"AAAAAE3+eyk=")</f>
        <v>#VALUE!</v>
      </c>
      <c r="AQ1" t="e">
        <f>AND(Komplett!I4,"AAAAAE3+eyo=")</f>
        <v>#VALUE!</v>
      </c>
      <c r="AR1" t="e">
        <f>AND(Komplett!J4,"AAAAAE3+eys=")</f>
        <v>#VALUE!</v>
      </c>
      <c r="AS1">
        <f>IF(Komplett!5:5,"AAAAAE3+eyw=",0)</f>
        <v>0</v>
      </c>
      <c r="AT1" t="e">
        <f>AND(Komplett!A5,"AAAAAE3+ey0=")</f>
        <v>#VALUE!</v>
      </c>
      <c r="AU1" t="e">
        <f>AND(Komplett!B5,"AAAAAE3+ey4=")</f>
        <v>#VALUE!</v>
      </c>
      <c r="AV1" t="e">
        <f>AND(Komplett!C5,"AAAAAE3+ey8=")</f>
        <v>#VALUE!</v>
      </c>
      <c r="AW1" t="e">
        <f>AND(Komplett!D5,"AAAAAE3+ezA=")</f>
        <v>#VALUE!</v>
      </c>
      <c r="AX1" t="e">
        <f>AND(Komplett!E5,"AAAAAE3+ezE=")</f>
        <v>#VALUE!</v>
      </c>
      <c r="AY1" t="e">
        <f>AND(Komplett!F5,"AAAAAE3+ezI=")</f>
        <v>#VALUE!</v>
      </c>
      <c r="AZ1" t="e">
        <f>AND(Komplett!G5,"AAAAAE3+ezM=")</f>
        <v>#VALUE!</v>
      </c>
      <c r="BA1" t="e">
        <f>AND(Komplett!H5,"AAAAAE3+ezQ=")</f>
        <v>#VALUE!</v>
      </c>
      <c r="BB1" t="e">
        <f>AND(Komplett!I5,"AAAAAE3+ezU=")</f>
        <v>#VALUE!</v>
      </c>
      <c r="BC1" t="e">
        <f>AND(Komplett!J5,"AAAAAE3+ezY=")</f>
        <v>#VALUE!</v>
      </c>
      <c r="BD1">
        <f>IF(Komplett!6:6,"AAAAAE3+ezc=",0)</f>
        <v>0</v>
      </c>
      <c r="BE1" t="e">
        <f>AND(Komplett!A6,"AAAAAE3+ezg=")</f>
        <v>#VALUE!</v>
      </c>
      <c r="BF1" t="e">
        <f>AND(Komplett!B6,"AAAAAE3+ezk=")</f>
        <v>#VALUE!</v>
      </c>
      <c r="BG1" t="e">
        <f>AND(Komplett!C6,"AAAAAE3+ezo=")</f>
        <v>#VALUE!</v>
      </c>
      <c r="BH1" t="e">
        <f>AND(Komplett!D6,"AAAAAE3+ezs=")</f>
        <v>#VALUE!</v>
      </c>
      <c r="BI1" t="e">
        <f>AND(Komplett!E6,"AAAAAE3+ezw=")</f>
        <v>#VALUE!</v>
      </c>
      <c r="BJ1" t="e">
        <f>AND(Komplett!F6,"AAAAAE3+ez0=")</f>
        <v>#VALUE!</v>
      </c>
      <c r="BK1" t="e">
        <f>AND(Komplett!G6,"AAAAAE3+ez4=")</f>
        <v>#VALUE!</v>
      </c>
      <c r="BL1" t="e">
        <f>AND(Komplett!H6,"AAAAAE3+ez8=")</f>
        <v>#VALUE!</v>
      </c>
      <c r="BM1" t="e">
        <f>AND(Komplett!I6,"AAAAAE3+e0A=")</f>
        <v>#VALUE!</v>
      </c>
      <c r="BN1" t="e">
        <f>AND(Komplett!J6,"AAAAAE3+e0E=")</f>
        <v>#VALUE!</v>
      </c>
      <c r="BO1">
        <f>IF(Komplett!7:7,"AAAAAE3+e0I=",0)</f>
        <v>0</v>
      </c>
      <c r="BP1" t="e">
        <f>AND(Komplett!A7,"AAAAAE3+e0M=")</f>
        <v>#VALUE!</v>
      </c>
      <c r="BQ1" t="e">
        <f>AND(Komplett!B7,"AAAAAE3+e0Q=")</f>
        <v>#VALUE!</v>
      </c>
      <c r="BR1" t="e">
        <f>AND(Komplett!C7,"AAAAAE3+e0U=")</f>
        <v>#VALUE!</v>
      </c>
      <c r="BS1" t="e">
        <f>AND(Komplett!D7,"AAAAAE3+e0Y=")</f>
        <v>#VALUE!</v>
      </c>
      <c r="BT1" t="e">
        <f>AND(Komplett!E7,"AAAAAE3+e0c=")</f>
        <v>#VALUE!</v>
      </c>
      <c r="BU1" t="e">
        <f>AND(Komplett!F7,"AAAAAE3+e0g=")</f>
        <v>#VALUE!</v>
      </c>
      <c r="BV1" t="e">
        <f>AND(Komplett!G7,"AAAAAE3+e0k=")</f>
        <v>#VALUE!</v>
      </c>
      <c r="BW1" t="e">
        <f>AND(Komplett!H7,"AAAAAE3+e0o=")</f>
        <v>#VALUE!</v>
      </c>
      <c r="BX1" t="e">
        <f>AND(Komplett!I7,"AAAAAE3+e0s=")</f>
        <v>#VALUE!</v>
      </c>
      <c r="BY1" t="e">
        <f>AND(Komplett!J7,"AAAAAE3+e0w=")</f>
        <v>#VALUE!</v>
      </c>
      <c r="BZ1">
        <f>IF(Komplett!8:8,"AAAAAE3+e00=",0)</f>
        <v>0</v>
      </c>
      <c r="CA1" t="e">
        <f>AND(Komplett!A8,"AAAAAE3+e04=")</f>
        <v>#VALUE!</v>
      </c>
      <c r="CB1" t="e">
        <f>AND(Komplett!B8,"AAAAAE3+e08=")</f>
        <v>#VALUE!</v>
      </c>
      <c r="CC1" t="e">
        <f>AND(Komplett!C8,"AAAAAE3+e1A=")</f>
        <v>#VALUE!</v>
      </c>
      <c r="CD1" t="e">
        <f>AND(Komplett!D8,"AAAAAE3+e1E=")</f>
        <v>#VALUE!</v>
      </c>
      <c r="CE1" t="e">
        <f>AND(Komplett!E8,"AAAAAE3+e1I=")</f>
        <v>#VALUE!</v>
      </c>
      <c r="CF1" t="e">
        <f>AND(Komplett!F8,"AAAAAE3+e1M=")</f>
        <v>#VALUE!</v>
      </c>
      <c r="CG1" t="e">
        <f>AND(Komplett!G8,"AAAAAE3+e1Q=")</f>
        <v>#VALUE!</v>
      </c>
      <c r="CH1" t="e">
        <f>AND(Komplett!H8,"AAAAAE3+e1U=")</f>
        <v>#VALUE!</v>
      </c>
      <c r="CI1" t="e">
        <f>AND(Komplett!I8,"AAAAAE3+e1Y=")</f>
        <v>#VALUE!</v>
      </c>
      <c r="CJ1" t="e">
        <f>AND(Komplett!J8,"AAAAAE3+e1c=")</f>
        <v>#VALUE!</v>
      </c>
      <c r="CK1" t="e">
        <f>IF(Komplett!#REF!,"AAAAAE3+e1g=",0)</f>
        <v>#REF!</v>
      </c>
      <c r="CL1" t="e">
        <f>AND(Komplett!#REF!,"AAAAAE3+e1k=")</f>
        <v>#REF!</v>
      </c>
      <c r="CM1" t="e">
        <f>AND(Komplett!#REF!,"AAAAAE3+e1o=")</f>
        <v>#REF!</v>
      </c>
      <c r="CN1" t="e">
        <f>AND(Komplett!#REF!,"AAAAAE3+e1s=")</f>
        <v>#REF!</v>
      </c>
      <c r="CO1" t="e">
        <f>AND(Komplett!#REF!,"AAAAAE3+e1w=")</f>
        <v>#REF!</v>
      </c>
      <c r="CP1" t="e">
        <f>AND(Komplett!#REF!,"AAAAAE3+e10=")</f>
        <v>#REF!</v>
      </c>
      <c r="CQ1" t="e">
        <f>AND(Komplett!#REF!,"AAAAAE3+e14=")</f>
        <v>#REF!</v>
      </c>
      <c r="CR1" t="e">
        <f>AND(Komplett!#REF!,"AAAAAE3+e18=")</f>
        <v>#REF!</v>
      </c>
      <c r="CS1" t="e">
        <f>AND(Komplett!#REF!,"AAAAAE3+e2A=")</f>
        <v>#REF!</v>
      </c>
      <c r="CT1" t="e">
        <f>AND(Komplett!#REF!,"AAAAAE3+e2E=")</f>
        <v>#REF!</v>
      </c>
      <c r="CU1" t="e">
        <f>AND(Komplett!#REF!,"AAAAAE3+e2I=")</f>
        <v>#REF!</v>
      </c>
      <c r="CV1">
        <f>IF(Komplett!9:9,"AAAAAE3+e2M=",0)</f>
        <v>0</v>
      </c>
      <c r="CW1" t="e">
        <f>AND(Komplett!A9,"AAAAAE3+e2Q=")</f>
        <v>#VALUE!</v>
      </c>
      <c r="CX1" t="e">
        <f>AND(Komplett!B9,"AAAAAE3+e2U=")</f>
        <v>#VALUE!</v>
      </c>
      <c r="CY1" t="e">
        <f>AND(Komplett!C9,"AAAAAE3+e2Y=")</f>
        <v>#VALUE!</v>
      </c>
      <c r="CZ1" t="e">
        <f>AND(Komplett!D9,"AAAAAE3+e2c=")</f>
        <v>#VALUE!</v>
      </c>
      <c r="DA1" t="e">
        <f>AND(Komplett!E9,"AAAAAE3+e2g=")</f>
        <v>#VALUE!</v>
      </c>
      <c r="DB1" t="e">
        <f>AND(Komplett!F9,"AAAAAE3+e2k=")</f>
        <v>#VALUE!</v>
      </c>
      <c r="DC1" t="e">
        <f>AND(Komplett!G9,"AAAAAE3+e2o=")</f>
        <v>#VALUE!</v>
      </c>
      <c r="DD1" t="e">
        <f>AND(Komplett!H9,"AAAAAE3+e2s=")</f>
        <v>#VALUE!</v>
      </c>
      <c r="DE1" t="e">
        <f>AND(Komplett!I9,"AAAAAE3+e2w=")</f>
        <v>#VALUE!</v>
      </c>
      <c r="DF1" t="e">
        <f>AND(Komplett!J9,"AAAAAE3+e20=")</f>
        <v>#VALUE!</v>
      </c>
      <c r="DG1">
        <f>IF(Komplett!10:10,"AAAAAE3+e24=",0)</f>
        <v>0</v>
      </c>
      <c r="DH1" t="e">
        <f>AND(Komplett!A10,"AAAAAE3+e28=")</f>
        <v>#VALUE!</v>
      </c>
      <c r="DI1" t="e">
        <f>AND(Komplett!B10,"AAAAAE3+e3A=")</f>
        <v>#VALUE!</v>
      </c>
      <c r="DJ1" t="e">
        <f>AND(Komplett!C10,"AAAAAE3+e3E=")</f>
        <v>#VALUE!</v>
      </c>
      <c r="DK1" t="e">
        <f>AND(Komplett!D10,"AAAAAE3+e3I=")</f>
        <v>#VALUE!</v>
      </c>
      <c r="DL1" t="e">
        <f>AND(Komplett!E10,"AAAAAE3+e3M=")</f>
        <v>#VALUE!</v>
      </c>
      <c r="DM1" t="e">
        <f>AND(Komplett!F10,"AAAAAE3+e3Q=")</f>
        <v>#VALUE!</v>
      </c>
      <c r="DN1" t="e">
        <f>AND(Komplett!G10,"AAAAAE3+e3U=")</f>
        <v>#VALUE!</v>
      </c>
      <c r="DO1" t="e">
        <f>AND(Komplett!H10,"AAAAAE3+e3Y=")</f>
        <v>#VALUE!</v>
      </c>
      <c r="DP1" t="e">
        <f>AND(Komplett!I10,"AAAAAE3+e3c=")</f>
        <v>#VALUE!</v>
      </c>
      <c r="DQ1" t="e">
        <f>AND(Komplett!J10,"AAAAAE3+e3g=")</f>
        <v>#VALUE!</v>
      </c>
      <c r="DR1">
        <f>IF(Komplett!11:11,"AAAAAE3+e3k=",0)</f>
        <v>0</v>
      </c>
      <c r="DS1" t="e">
        <f>AND(Komplett!A11,"AAAAAE3+e3o=")</f>
        <v>#VALUE!</v>
      </c>
      <c r="DT1" t="e">
        <f>AND(Komplett!B11,"AAAAAE3+e3s=")</f>
        <v>#VALUE!</v>
      </c>
      <c r="DU1" t="e">
        <f>AND(Komplett!C11,"AAAAAE3+e3w=")</f>
        <v>#VALUE!</v>
      </c>
      <c r="DV1" t="e">
        <f>AND(Komplett!D11,"AAAAAE3+e30=")</f>
        <v>#VALUE!</v>
      </c>
      <c r="DW1" t="e">
        <f>AND(Komplett!E11,"AAAAAE3+e34=")</f>
        <v>#VALUE!</v>
      </c>
      <c r="DX1" t="e">
        <f>AND(Komplett!F11,"AAAAAE3+e38=")</f>
        <v>#VALUE!</v>
      </c>
      <c r="DY1" t="e">
        <f>AND(Komplett!G11,"AAAAAE3+e4A=")</f>
        <v>#VALUE!</v>
      </c>
      <c r="DZ1" t="e">
        <f>AND(Komplett!H11,"AAAAAE3+e4E=")</f>
        <v>#VALUE!</v>
      </c>
      <c r="EA1" t="e">
        <f>AND(Komplett!I11,"AAAAAE3+e4I=")</f>
        <v>#VALUE!</v>
      </c>
      <c r="EB1" t="e">
        <f>AND(Komplett!J11,"AAAAAE3+e4M=")</f>
        <v>#VALUE!</v>
      </c>
      <c r="EC1" t="e">
        <f>IF(Komplett!#REF!,"AAAAAE3+e4Q=",0)</f>
        <v>#REF!</v>
      </c>
      <c r="ED1" t="e">
        <f>AND(Komplett!#REF!,"AAAAAE3+e4U=")</f>
        <v>#REF!</v>
      </c>
      <c r="EE1" t="e">
        <f>AND(Komplett!#REF!,"AAAAAE3+e4Y=")</f>
        <v>#REF!</v>
      </c>
      <c r="EF1" t="e">
        <f>AND(Komplett!#REF!,"AAAAAE3+e4c=")</f>
        <v>#REF!</v>
      </c>
      <c r="EG1" t="e">
        <f>AND(Komplett!#REF!,"AAAAAE3+e4g=")</f>
        <v>#REF!</v>
      </c>
      <c r="EH1" t="e">
        <f>AND(Komplett!#REF!,"AAAAAE3+e4k=")</f>
        <v>#REF!</v>
      </c>
      <c r="EI1" t="e">
        <f>AND(Komplett!#REF!,"AAAAAE3+e4o=")</f>
        <v>#REF!</v>
      </c>
      <c r="EJ1" t="e">
        <f>AND(Komplett!#REF!,"AAAAAE3+e4s=")</f>
        <v>#REF!</v>
      </c>
      <c r="EK1" t="e">
        <f>AND(Komplett!#REF!,"AAAAAE3+e4w=")</f>
        <v>#REF!</v>
      </c>
      <c r="EL1" t="e">
        <f>AND(Komplett!#REF!,"AAAAAE3+e40=")</f>
        <v>#REF!</v>
      </c>
      <c r="EM1" t="e">
        <f>AND(Komplett!#REF!,"AAAAAE3+e44=")</f>
        <v>#REF!</v>
      </c>
      <c r="EN1" t="e">
        <f>IF(Komplett!#REF!,"AAAAAE3+e48=",0)</f>
        <v>#REF!</v>
      </c>
      <c r="EO1" t="e">
        <f>AND(Komplett!#REF!,"AAAAAE3+e5A=")</f>
        <v>#REF!</v>
      </c>
      <c r="EP1" t="e">
        <f>AND(Komplett!#REF!,"AAAAAE3+e5E=")</f>
        <v>#REF!</v>
      </c>
      <c r="EQ1" t="e">
        <f>AND(Komplett!#REF!,"AAAAAE3+e5I=")</f>
        <v>#REF!</v>
      </c>
      <c r="ER1" t="e">
        <f>AND(Komplett!#REF!,"AAAAAE3+e5M=")</f>
        <v>#REF!</v>
      </c>
      <c r="ES1" t="e">
        <f>AND(Komplett!#REF!,"AAAAAE3+e5Q=")</f>
        <v>#REF!</v>
      </c>
      <c r="ET1" t="e">
        <f>AND(Komplett!#REF!,"AAAAAE3+e5U=")</f>
        <v>#REF!</v>
      </c>
      <c r="EU1" t="e">
        <f>AND(Komplett!#REF!,"AAAAAE3+e5Y=")</f>
        <v>#REF!</v>
      </c>
      <c r="EV1" t="e">
        <f>AND(Komplett!#REF!,"AAAAAE3+e5c=")</f>
        <v>#REF!</v>
      </c>
      <c r="EW1" t="e">
        <f>AND(Komplett!#REF!,"AAAAAE3+e5g=")</f>
        <v>#REF!</v>
      </c>
      <c r="EX1" t="e">
        <f>AND(Komplett!#REF!,"AAAAAE3+e5k=")</f>
        <v>#REF!</v>
      </c>
      <c r="EY1" t="e">
        <f>IF(Komplett!#REF!,"AAAAAE3+e5o=",0)</f>
        <v>#REF!</v>
      </c>
      <c r="EZ1" t="e">
        <f>AND(Komplett!#REF!,"AAAAAE3+e5s=")</f>
        <v>#REF!</v>
      </c>
      <c r="FA1" t="e">
        <f>AND(Komplett!#REF!,"AAAAAE3+e5w=")</f>
        <v>#REF!</v>
      </c>
      <c r="FB1" t="e">
        <f>AND(Komplett!#REF!,"AAAAAE3+e50=")</f>
        <v>#REF!</v>
      </c>
      <c r="FC1" t="e">
        <f>AND(Komplett!#REF!,"AAAAAE3+e54=")</f>
        <v>#REF!</v>
      </c>
      <c r="FD1" t="e">
        <f>AND(Komplett!#REF!,"AAAAAE3+e58=")</f>
        <v>#REF!</v>
      </c>
      <c r="FE1" t="e">
        <f>AND(Komplett!#REF!,"AAAAAE3+e6A=")</f>
        <v>#REF!</v>
      </c>
      <c r="FF1" t="e">
        <f>AND(Komplett!#REF!,"AAAAAE3+e6E=")</f>
        <v>#REF!</v>
      </c>
      <c r="FG1" t="e">
        <f>AND(Komplett!#REF!,"AAAAAE3+e6I=")</f>
        <v>#REF!</v>
      </c>
      <c r="FH1" t="e">
        <f>AND(Komplett!#REF!,"AAAAAE3+e6M=")</f>
        <v>#REF!</v>
      </c>
      <c r="FI1" t="e">
        <f>AND(Komplett!#REF!,"AAAAAE3+e6Q=")</f>
        <v>#REF!</v>
      </c>
      <c r="FJ1" t="e">
        <f>IF(Komplett!#REF!,"AAAAAE3+e6U=",0)</f>
        <v>#REF!</v>
      </c>
      <c r="FK1" t="e">
        <f>AND(Komplett!#REF!,"AAAAAE3+e6Y=")</f>
        <v>#REF!</v>
      </c>
      <c r="FL1" t="e">
        <f>AND(Komplett!#REF!,"AAAAAE3+e6c=")</f>
        <v>#REF!</v>
      </c>
      <c r="FM1" t="e">
        <f>AND(Komplett!#REF!,"AAAAAE3+e6g=")</f>
        <v>#REF!</v>
      </c>
      <c r="FN1" t="e">
        <f>AND(Komplett!#REF!,"AAAAAE3+e6k=")</f>
        <v>#REF!</v>
      </c>
      <c r="FO1" t="e">
        <f>AND(Komplett!#REF!,"AAAAAE3+e6o=")</f>
        <v>#REF!</v>
      </c>
      <c r="FP1" t="e">
        <f>AND(Komplett!#REF!,"AAAAAE3+e6s=")</f>
        <v>#REF!</v>
      </c>
      <c r="FQ1" t="e">
        <f>AND(Komplett!#REF!,"AAAAAE3+e6w=")</f>
        <v>#REF!</v>
      </c>
      <c r="FR1" t="e">
        <f>AND(Komplett!#REF!,"AAAAAE3+e60=")</f>
        <v>#REF!</v>
      </c>
      <c r="FS1" t="e">
        <f>AND(Komplett!#REF!,"AAAAAE3+e64=")</f>
        <v>#REF!</v>
      </c>
      <c r="FT1" t="e">
        <f>AND(Komplett!#REF!,"AAAAAE3+e68=")</f>
        <v>#REF!</v>
      </c>
      <c r="FU1" t="e">
        <f>IF(Komplett!#REF!,"AAAAAE3+e7A=",0)</f>
        <v>#REF!</v>
      </c>
      <c r="FV1" t="e">
        <f>AND(Komplett!#REF!,"AAAAAE3+e7E=")</f>
        <v>#REF!</v>
      </c>
      <c r="FW1" t="e">
        <f>AND(Komplett!#REF!,"AAAAAE3+e7I=")</f>
        <v>#REF!</v>
      </c>
      <c r="FX1" t="e">
        <f>AND(Komplett!#REF!,"AAAAAE3+e7M=")</f>
        <v>#REF!</v>
      </c>
      <c r="FY1" t="e">
        <f>AND(Komplett!#REF!,"AAAAAE3+e7Q=")</f>
        <v>#REF!</v>
      </c>
      <c r="FZ1" t="e">
        <f>AND(Komplett!#REF!,"AAAAAE3+e7U=")</f>
        <v>#REF!</v>
      </c>
      <c r="GA1" t="e">
        <f>AND(Komplett!#REF!,"AAAAAE3+e7Y=")</f>
        <v>#REF!</v>
      </c>
      <c r="GB1" t="e">
        <f>AND(Komplett!#REF!,"AAAAAE3+e7c=")</f>
        <v>#REF!</v>
      </c>
      <c r="GC1" t="e">
        <f>AND(Komplett!#REF!,"AAAAAE3+e7g=")</f>
        <v>#REF!</v>
      </c>
      <c r="GD1" t="e">
        <f>AND(Komplett!#REF!,"AAAAAE3+e7k=")</f>
        <v>#REF!</v>
      </c>
      <c r="GE1" t="e">
        <f>AND(Komplett!#REF!,"AAAAAE3+e7o=")</f>
        <v>#REF!</v>
      </c>
      <c r="GF1" t="e">
        <f>IF(Komplett!#REF!,"AAAAAE3+e7s=",0)</f>
        <v>#REF!</v>
      </c>
      <c r="GG1" t="e">
        <f>AND(Komplett!#REF!,"AAAAAE3+e7w=")</f>
        <v>#REF!</v>
      </c>
      <c r="GH1" t="e">
        <f>AND(Komplett!#REF!,"AAAAAE3+e70=")</f>
        <v>#REF!</v>
      </c>
      <c r="GI1" t="e">
        <f>AND(Komplett!#REF!,"AAAAAE3+e74=")</f>
        <v>#REF!</v>
      </c>
      <c r="GJ1" t="e">
        <f>AND(Komplett!#REF!,"AAAAAE3+e78=")</f>
        <v>#REF!</v>
      </c>
      <c r="GK1" t="e">
        <f>AND(Komplett!#REF!,"AAAAAE3+e8A=")</f>
        <v>#REF!</v>
      </c>
      <c r="GL1" t="e">
        <f>AND(Komplett!#REF!,"AAAAAE3+e8E=")</f>
        <v>#REF!</v>
      </c>
      <c r="GM1" t="e">
        <f>AND(Komplett!#REF!,"AAAAAE3+e8I=")</f>
        <v>#REF!</v>
      </c>
      <c r="GN1" t="e">
        <f>AND(Komplett!#REF!,"AAAAAE3+e8M=")</f>
        <v>#REF!</v>
      </c>
      <c r="GO1" t="e">
        <f>AND(Komplett!#REF!,"AAAAAE3+e8Q=")</f>
        <v>#REF!</v>
      </c>
      <c r="GP1" t="e">
        <f>AND(Komplett!#REF!,"AAAAAE3+e8U=")</f>
        <v>#REF!</v>
      </c>
      <c r="GQ1" t="e">
        <f>IF(Komplett!#REF!,"AAAAAE3+e8Y=",0)</f>
        <v>#REF!</v>
      </c>
      <c r="GR1" t="e">
        <f>AND(Komplett!#REF!,"AAAAAE3+e8c=")</f>
        <v>#REF!</v>
      </c>
      <c r="GS1" t="e">
        <f>AND(Komplett!#REF!,"AAAAAE3+e8g=")</f>
        <v>#REF!</v>
      </c>
      <c r="GT1" t="e">
        <f>AND(Komplett!#REF!,"AAAAAE3+e8k=")</f>
        <v>#REF!</v>
      </c>
      <c r="GU1" t="e">
        <f>AND(Komplett!#REF!,"AAAAAE3+e8o=")</f>
        <v>#REF!</v>
      </c>
      <c r="GV1" t="e">
        <f>AND(Komplett!#REF!,"AAAAAE3+e8s=")</f>
        <v>#REF!</v>
      </c>
      <c r="GW1" t="e">
        <f>AND(Komplett!#REF!,"AAAAAE3+e8w=")</f>
        <v>#REF!</v>
      </c>
      <c r="GX1" t="e">
        <f>AND(Komplett!#REF!,"AAAAAE3+e80=")</f>
        <v>#REF!</v>
      </c>
      <c r="GY1" t="e">
        <f>AND(Komplett!#REF!,"AAAAAE3+e84=")</f>
        <v>#REF!</v>
      </c>
      <c r="GZ1" t="e">
        <f>AND(Komplett!#REF!,"AAAAAE3+e88=")</f>
        <v>#REF!</v>
      </c>
      <c r="HA1" t="e">
        <f>AND(Komplett!#REF!,"AAAAAE3+e9A=")</f>
        <v>#REF!</v>
      </c>
      <c r="HB1" t="e">
        <f>IF(Komplett!#REF!,"AAAAAE3+e9E=",0)</f>
        <v>#REF!</v>
      </c>
      <c r="HC1" t="e">
        <f>AND(Komplett!#REF!,"AAAAAE3+e9I=")</f>
        <v>#REF!</v>
      </c>
      <c r="HD1" t="e">
        <f>AND(Komplett!#REF!,"AAAAAE3+e9M=")</f>
        <v>#REF!</v>
      </c>
      <c r="HE1" t="e">
        <f>AND(Komplett!#REF!,"AAAAAE3+e9Q=")</f>
        <v>#REF!</v>
      </c>
      <c r="HF1" t="e">
        <f>AND(Komplett!#REF!,"AAAAAE3+e9U=")</f>
        <v>#REF!</v>
      </c>
      <c r="HG1" t="e">
        <f>AND(Komplett!#REF!,"AAAAAE3+e9Y=")</f>
        <v>#REF!</v>
      </c>
      <c r="HH1" t="e">
        <f>AND(Komplett!#REF!,"AAAAAE3+e9c=")</f>
        <v>#REF!</v>
      </c>
      <c r="HI1" t="e">
        <f>AND(Komplett!#REF!,"AAAAAE3+e9g=")</f>
        <v>#REF!</v>
      </c>
      <c r="HJ1" t="e">
        <f>AND(Komplett!#REF!,"AAAAAE3+e9k=")</f>
        <v>#REF!</v>
      </c>
      <c r="HK1" t="e">
        <f>AND(Komplett!#REF!,"AAAAAE3+e9o=")</f>
        <v>#REF!</v>
      </c>
      <c r="HL1" t="e">
        <f>AND(Komplett!#REF!,"AAAAAE3+e9s=")</f>
        <v>#REF!</v>
      </c>
      <c r="HM1" t="e">
        <f>IF(Komplett!#REF!,"AAAAAE3+e9w=",0)</f>
        <v>#REF!</v>
      </c>
      <c r="HN1" t="e">
        <f>AND(Komplett!#REF!,"AAAAAE3+e90=")</f>
        <v>#REF!</v>
      </c>
      <c r="HO1" t="e">
        <f>AND(Komplett!#REF!,"AAAAAE3+e94=")</f>
        <v>#REF!</v>
      </c>
      <c r="HP1" t="e">
        <f>AND(Komplett!#REF!,"AAAAAE3+e98=")</f>
        <v>#REF!</v>
      </c>
      <c r="HQ1" t="e">
        <f>AND(Komplett!#REF!,"AAAAAE3+e+A=")</f>
        <v>#REF!</v>
      </c>
      <c r="HR1" t="e">
        <f>AND(Komplett!#REF!,"AAAAAE3+e+E=")</f>
        <v>#REF!</v>
      </c>
      <c r="HS1" t="e">
        <f>AND(Komplett!#REF!,"AAAAAE3+e+I=")</f>
        <v>#REF!</v>
      </c>
      <c r="HT1" t="e">
        <f>AND(Komplett!#REF!,"AAAAAE3+e+M=")</f>
        <v>#REF!</v>
      </c>
      <c r="HU1" t="e">
        <f>AND(Komplett!#REF!,"AAAAAE3+e+Q=")</f>
        <v>#REF!</v>
      </c>
      <c r="HV1" t="e">
        <f>AND(Komplett!#REF!,"AAAAAE3+e+U=")</f>
        <v>#REF!</v>
      </c>
      <c r="HW1" t="e">
        <f>AND(Komplett!#REF!,"AAAAAE3+e+Y=")</f>
        <v>#REF!</v>
      </c>
      <c r="HX1" t="e">
        <f>IF(Komplett!#REF!,"AAAAAE3+e+c=",0)</f>
        <v>#REF!</v>
      </c>
      <c r="HY1" t="e">
        <f>AND(Komplett!#REF!,"AAAAAE3+e+g=")</f>
        <v>#REF!</v>
      </c>
      <c r="HZ1" t="e">
        <f>AND(Komplett!#REF!,"AAAAAE3+e+k=")</f>
        <v>#REF!</v>
      </c>
      <c r="IA1" t="e">
        <f>AND(Komplett!#REF!,"AAAAAE3+e+o=")</f>
        <v>#REF!</v>
      </c>
      <c r="IB1" t="e">
        <f>AND(Komplett!#REF!,"AAAAAE3+e+s=")</f>
        <v>#REF!</v>
      </c>
      <c r="IC1" t="e">
        <f>AND(Komplett!#REF!,"AAAAAE3+e+w=")</f>
        <v>#REF!</v>
      </c>
      <c r="ID1" t="e">
        <f>AND(Komplett!#REF!,"AAAAAE3+e+0=")</f>
        <v>#REF!</v>
      </c>
      <c r="IE1" t="e">
        <f>AND(Komplett!#REF!,"AAAAAE3+e+4=")</f>
        <v>#REF!</v>
      </c>
      <c r="IF1" t="e">
        <f>AND(Komplett!#REF!,"AAAAAE3+e+8=")</f>
        <v>#REF!</v>
      </c>
      <c r="IG1" t="e">
        <f>AND(Komplett!#REF!,"AAAAAE3+e/A=")</f>
        <v>#REF!</v>
      </c>
      <c r="IH1" t="e">
        <f>AND(Komplett!#REF!,"AAAAAE3+e/E=")</f>
        <v>#REF!</v>
      </c>
      <c r="II1" t="e">
        <f>IF(Komplett!#REF!,"AAAAAE3+e/I=",0)</f>
        <v>#REF!</v>
      </c>
      <c r="IJ1" t="e">
        <f>AND(Komplett!#REF!,"AAAAAE3+e/M=")</f>
        <v>#REF!</v>
      </c>
      <c r="IK1" t="e">
        <f>AND(Komplett!#REF!,"AAAAAE3+e/Q=")</f>
        <v>#REF!</v>
      </c>
      <c r="IL1" t="e">
        <f>AND(Komplett!#REF!,"AAAAAE3+e/U=")</f>
        <v>#REF!</v>
      </c>
      <c r="IM1" t="e">
        <f>AND(Komplett!#REF!,"AAAAAE3+e/Y=")</f>
        <v>#REF!</v>
      </c>
      <c r="IN1" t="e">
        <f>AND(Komplett!#REF!,"AAAAAE3+e/c=")</f>
        <v>#REF!</v>
      </c>
      <c r="IO1" t="e">
        <f>AND(Komplett!#REF!,"AAAAAE3+e/g=")</f>
        <v>#REF!</v>
      </c>
      <c r="IP1" t="e">
        <f>AND(Komplett!#REF!,"AAAAAE3+e/k=")</f>
        <v>#REF!</v>
      </c>
      <c r="IQ1" t="e">
        <f>AND(Komplett!#REF!,"AAAAAE3+e/o=")</f>
        <v>#REF!</v>
      </c>
      <c r="IR1" t="e">
        <f>AND(Komplett!#REF!,"AAAAAE3+e/s=")</f>
        <v>#REF!</v>
      </c>
      <c r="IS1" t="e">
        <f>AND(Komplett!#REF!,"AAAAAE3+e/w=")</f>
        <v>#REF!</v>
      </c>
      <c r="IT1" t="e">
        <f>IF(Komplett!#REF!,"AAAAAE3+e/0=",0)</f>
        <v>#REF!</v>
      </c>
      <c r="IU1" t="e">
        <f>AND(Komplett!#REF!,"AAAAAE3+e/4=")</f>
        <v>#REF!</v>
      </c>
      <c r="IV1" t="e">
        <f>AND(Komplett!#REF!,"AAAAAE3+e/8=")</f>
        <v>#REF!</v>
      </c>
    </row>
    <row r="2" spans="1:40" ht="15">
      <c r="A2" t="e">
        <f>AND(Komplett!#REF!,"AAAAAHby7QA=")</f>
        <v>#REF!</v>
      </c>
      <c r="B2" t="e">
        <f>AND(Komplett!#REF!,"AAAAAHby7QE=")</f>
        <v>#REF!</v>
      </c>
      <c r="C2" t="e">
        <f>AND(Komplett!#REF!,"AAAAAHby7QI=")</f>
        <v>#REF!</v>
      </c>
      <c r="D2" t="e">
        <f>AND(Komplett!#REF!,"AAAAAHby7QM=")</f>
        <v>#REF!</v>
      </c>
      <c r="E2" t="e">
        <f>AND(Komplett!#REF!,"AAAAAHby7QQ=")</f>
        <v>#REF!</v>
      </c>
      <c r="F2" t="e">
        <f>AND(Komplett!#REF!,"AAAAAHby7QU=")</f>
        <v>#REF!</v>
      </c>
      <c r="G2" t="e">
        <f>AND(Komplett!#REF!,"AAAAAHby7QY=")</f>
        <v>#REF!</v>
      </c>
      <c r="H2" t="e">
        <f>AND(Komplett!#REF!,"AAAAAHby7Qc=")</f>
        <v>#REF!</v>
      </c>
      <c r="I2" t="e">
        <f>IF(Komplett!24:24,"AAAAAHby7Qg=",0)</f>
        <v>#VALUE!</v>
      </c>
      <c r="J2" t="e">
        <f>AND(Komplett!A24,"AAAAAHby7Qk=")</f>
        <v>#VALUE!</v>
      </c>
      <c r="K2" t="e">
        <f>AND(Komplett!B24,"AAAAAHby7Qo=")</f>
        <v>#VALUE!</v>
      </c>
      <c r="L2" t="e">
        <f>AND(Komplett!C24,"AAAAAHby7Qs=")</f>
        <v>#VALUE!</v>
      </c>
      <c r="M2" t="e">
        <f>AND(Komplett!D24,"AAAAAHby7Qw=")</f>
        <v>#VALUE!</v>
      </c>
      <c r="N2" t="e">
        <f>AND(Komplett!E24,"AAAAAHby7Q0=")</f>
        <v>#VALUE!</v>
      </c>
      <c r="O2" t="e">
        <f>AND(Komplett!F24,"AAAAAHby7Q4=")</f>
        <v>#VALUE!</v>
      </c>
      <c r="P2" t="e">
        <f>AND(Komplett!G24,"AAAAAHby7Q8=")</f>
        <v>#VALUE!</v>
      </c>
      <c r="Q2" t="e">
        <f>AND(Komplett!H24,"AAAAAHby7RA=")</f>
        <v>#VALUE!</v>
      </c>
      <c r="R2" t="e">
        <f>AND(Komplett!I24,"AAAAAHby7RE=")</f>
        <v>#VALUE!</v>
      </c>
      <c r="S2" t="e">
        <f>AND(Komplett!J24,"AAAAAHby7RI=")</f>
        <v>#VALUE!</v>
      </c>
      <c r="T2">
        <f>IF(Komplett!25:25,"AAAAAHby7RM=",0)</f>
        <v>0</v>
      </c>
      <c r="U2">
        <f>IF(Komplett!26:26,"AAAAAHby7RQ=",0)</f>
        <v>0</v>
      </c>
      <c r="V2">
        <f>IF(Komplett!28:28,"AAAAAHby7RU=",0)</f>
        <v>0</v>
      </c>
      <c r="W2">
        <f>IF(Komplett!29:29,"AAAAAHby7RY=",0)</f>
        <v>0</v>
      </c>
      <c r="X2" t="e">
        <f>IF(Komplett!A:A,"AAAAAHby7Rc=",0)</f>
        <v>#VALUE!</v>
      </c>
      <c r="Y2" t="e">
        <f>IF(Komplett!B:B,"AAAAAHby7Rg=",0)</f>
        <v>#VALUE!</v>
      </c>
      <c r="Z2" t="e">
        <f>IF(Komplett!C:C,"AAAAAHby7Rk=",0)</f>
        <v>#VALUE!</v>
      </c>
      <c r="AA2" t="e">
        <f>IF(Komplett!D:D,"AAAAAHby7Ro=",0)</f>
        <v>#VALUE!</v>
      </c>
      <c r="AB2" t="e">
        <f>IF(Komplett!E:E,"AAAAAHby7Rs=",0)</f>
        <v>#VALUE!</v>
      </c>
      <c r="AC2" t="e">
        <f>IF(Komplett!F:F,"AAAAAHby7Rw=",0)</f>
        <v>#VALUE!</v>
      </c>
      <c r="AD2" t="e">
        <f>IF(Komplett!G:G,"AAAAAHby7R0=",0)</f>
        <v>#VALUE!</v>
      </c>
      <c r="AE2" t="e">
        <f>IF(Komplett!H:H,"AAAAAHby7R4=",0)</f>
        <v>#VALUE!</v>
      </c>
      <c r="AF2" t="e">
        <f>IF(Komplett!I:I,"AAAAAHby7R8=",0)</f>
        <v>#VALUE!</v>
      </c>
      <c r="AG2" t="e">
        <f>IF(Komplett!J:J,"AAAAAHby7SA=",0)</f>
        <v>#VALUE!</v>
      </c>
      <c r="AH2">
        <f>IF(Rest!4:4,"AAAAAHby7SE=",0)</f>
        <v>0</v>
      </c>
      <c r="AI2" t="e">
        <f>AND(Rest!A4,"AAAAAHby7SI=")</f>
        <v>#VALUE!</v>
      </c>
      <c r="AJ2">
        <f>IF(Rest!A:A,"AAAAAHby7SM=",0)</f>
        <v>0</v>
      </c>
      <c r="AK2">
        <f>IF(Tabelle3!1:1,"AAAAAHby7SQ=",0)</f>
        <v>0</v>
      </c>
      <c r="AL2" t="e">
        <f>AND(Tabelle3!A1,"AAAAAHby7SU=")</f>
        <v>#VALUE!</v>
      </c>
      <c r="AM2">
        <f>IF(Tabelle3!A:A,"AAAAAHby7SY=",0)</f>
        <v>0</v>
      </c>
      <c r="AN2" s="28" t="s">
        <v>30</v>
      </c>
    </row>
    <row r="3" spans="1:48" ht="15">
      <c r="A3" t="e">
        <f>IF(Komplett!#REF!,"AAAAACef+QA=",0)</f>
        <v>#REF!</v>
      </c>
      <c r="B3" t="e">
        <f>AND(Komplett!#REF!,"AAAAACef+QE=")</f>
        <v>#REF!</v>
      </c>
      <c r="C3" t="e">
        <f>AND(Komplett!#REF!,"AAAAACef+QI=")</f>
        <v>#REF!</v>
      </c>
      <c r="D3" t="e">
        <f>AND(Komplett!#REF!,"AAAAACef+QM=")</f>
        <v>#REF!</v>
      </c>
      <c r="E3" t="e">
        <f>AND(Komplett!#REF!,"AAAAACef+QQ=")</f>
        <v>#REF!</v>
      </c>
      <c r="F3" t="e">
        <f>AND(Komplett!#REF!,"AAAAACef+QU=")</f>
        <v>#REF!</v>
      </c>
      <c r="G3" t="e">
        <f>AND(Komplett!#REF!,"AAAAACef+QY=")</f>
        <v>#REF!</v>
      </c>
      <c r="H3" t="e">
        <f>AND(Komplett!#REF!,"AAAAACef+Qc=")</f>
        <v>#REF!</v>
      </c>
      <c r="I3" t="e">
        <f>AND(Komplett!#REF!,"AAAAACef+Qg=")</f>
        <v>#REF!</v>
      </c>
      <c r="J3" t="e">
        <f>AND(Komplett!#REF!,"AAAAACef+Qk=")</f>
        <v>#REF!</v>
      </c>
      <c r="K3" t="e">
        <f>AND(Komplett!A25,"AAAAACef+Qo=")</f>
        <v>#VALUE!</v>
      </c>
      <c r="L3" t="e">
        <f>AND(Komplett!B25,"AAAAACef+Qs=")</f>
        <v>#VALUE!</v>
      </c>
      <c r="M3" t="e">
        <f>AND(Komplett!C25,"AAAAACef+Qw=")</f>
        <v>#VALUE!</v>
      </c>
      <c r="N3" t="e">
        <f>AND(Komplett!D25,"AAAAACef+Q0=")</f>
        <v>#VALUE!</v>
      </c>
      <c r="O3" t="e">
        <f>AND(Komplett!E25,"AAAAACef+Q4=")</f>
        <v>#VALUE!</v>
      </c>
      <c r="P3" t="e">
        <f>AND(Komplett!F25,"AAAAACef+Q8=")</f>
        <v>#VALUE!</v>
      </c>
      <c r="Q3" t="e">
        <f>AND(Komplett!G25,"AAAAACef+RA=")</f>
        <v>#VALUE!</v>
      </c>
      <c r="R3" t="e">
        <f>AND(Komplett!H25,"AAAAACef+RE=")</f>
        <v>#VALUE!</v>
      </c>
      <c r="S3" t="e">
        <f>AND(Komplett!I25,"AAAAACef+RI=")</f>
        <v>#VALUE!</v>
      </c>
      <c r="T3" t="e">
        <f>AND(Komplett!A26,"AAAAACef+RM=")</f>
        <v>#VALUE!</v>
      </c>
      <c r="U3" t="e">
        <f>AND(Komplett!B26,"AAAAACef+RQ=")</f>
        <v>#VALUE!</v>
      </c>
      <c r="V3" t="e">
        <f>AND(Komplett!C26,"AAAAACef+RU=")</f>
        <v>#VALUE!</v>
      </c>
      <c r="W3" t="e">
        <f>AND(Komplett!D26,"AAAAACef+RY=")</f>
        <v>#VALUE!</v>
      </c>
      <c r="X3" t="e">
        <f>AND(Komplett!E26,"AAAAACef+Rc=")</f>
        <v>#VALUE!</v>
      </c>
      <c r="Y3" t="e">
        <f>AND(Komplett!F26,"AAAAACef+Rg=")</f>
        <v>#VALUE!</v>
      </c>
      <c r="Z3" t="e">
        <f>AND(Komplett!G26,"AAAAACef+Rk=")</f>
        <v>#VALUE!</v>
      </c>
      <c r="AA3" t="e">
        <f>AND(Komplett!H26,"AAAAACef+Ro=")</f>
        <v>#VALUE!</v>
      </c>
      <c r="AB3" t="e">
        <f>AND(Komplett!I26,"AAAAACef+Rs=")</f>
        <v>#VALUE!</v>
      </c>
      <c r="AC3" t="e">
        <f>AND(Komplett!A28,"AAAAACef+Rw=")</f>
        <v>#VALUE!</v>
      </c>
      <c r="AD3" t="e">
        <f>AND(Komplett!B28,"AAAAACef+R0=")</f>
        <v>#VALUE!</v>
      </c>
      <c r="AE3" t="e">
        <f>AND(Komplett!C28,"AAAAACef+R4=")</f>
        <v>#VALUE!</v>
      </c>
      <c r="AF3" t="e">
        <f>AND(Komplett!D28,"AAAAACef+R8=")</f>
        <v>#VALUE!</v>
      </c>
      <c r="AG3" t="e">
        <f>AND(Komplett!E28,"AAAAACef+SA=")</f>
        <v>#VALUE!</v>
      </c>
      <c r="AH3" t="e">
        <f>AND(Komplett!F28,"AAAAACef+SE=")</f>
        <v>#VALUE!</v>
      </c>
      <c r="AI3" t="e">
        <f>AND(Komplett!G28,"AAAAACef+SI=")</f>
        <v>#VALUE!</v>
      </c>
      <c r="AJ3" t="e">
        <f>AND(Komplett!H28,"AAAAACef+SM=")</f>
        <v>#VALUE!</v>
      </c>
      <c r="AK3" t="e">
        <f>AND(Komplett!I28,"AAAAACef+SQ=")</f>
        <v>#VALUE!</v>
      </c>
      <c r="AL3" t="e">
        <f>AND(Komplett!A29,"AAAAACef+SU=")</f>
        <v>#VALUE!</v>
      </c>
      <c r="AM3" t="e">
        <f>AND(Komplett!B29,"AAAAACef+SY=")</f>
        <v>#VALUE!</v>
      </c>
      <c r="AN3" t="e">
        <f>AND(Komplett!C29,"AAAAACef+Sc=")</f>
        <v>#VALUE!</v>
      </c>
      <c r="AO3" t="e">
        <f>AND(Komplett!D29,"AAAAACef+Sg=")</f>
        <v>#VALUE!</v>
      </c>
      <c r="AP3" t="e">
        <f>AND(Komplett!E29,"AAAAACef+Sk=")</f>
        <v>#VALUE!</v>
      </c>
      <c r="AQ3" t="e">
        <f>AND(Komplett!F29,"AAAAACef+So=")</f>
        <v>#VALUE!</v>
      </c>
      <c r="AR3" t="e">
        <f>AND(Komplett!G29,"AAAAACef+Ss=")</f>
        <v>#VALUE!</v>
      </c>
      <c r="AS3" t="e">
        <f>AND(Komplett!H29,"AAAAACef+Sw=")</f>
        <v>#VALUE!</v>
      </c>
      <c r="AT3" t="e">
        <f>AND(Komplett!I29,"AAAAACef+S0=")</f>
        <v>#VALUE!</v>
      </c>
      <c r="AU3">
        <f>IF(Komplett!30:30,"AAAAACef+S4=",0)</f>
        <v>0</v>
      </c>
      <c r="AV3">
        <f>IF(Komplett!31:31,"AAAAACef+S8=",0)</f>
        <v>0</v>
      </c>
    </row>
    <row r="4" spans="1:3" ht="15">
      <c r="A4" t="e">
        <f>AND(Komplett!#REF!,"AAAAAHN7/wA=")</f>
        <v>#REF!</v>
      </c>
      <c r="B4" t="e">
        <f>IF(Komplett!#REF!,"AAAAAHN7/wE=",0)</f>
        <v>#REF!</v>
      </c>
      <c r="C4" t="e">
        <f>IF(Komplett!#REF!,"AAAAAHN7/wI=",0)</f>
        <v>#REF!</v>
      </c>
    </row>
    <row r="5" spans="1:193" ht="15">
      <c r="A5" t="e">
        <f>IF(Komplett!#REF!,"AAAAAFv9vwA=",0)</f>
        <v>#REF!</v>
      </c>
      <c r="B5" t="e">
        <f>AND(Komplett!#REF!,"AAAAAFv9vwE=")</f>
        <v>#REF!</v>
      </c>
      <c r="C5" t="e">
        <f>AND(Komplett!#REF!,"AAAAAFv9vwI=")</f>
        <v>#REF!</v>
      </c>
      <c r="D5" t="e">
        <f>AND(Komplett!#REF!,"AAAAAFv9vwM=")</f>
        <v>#REF!</v>
      </c>
      <c r="E5" t="e">
        <f>AND(Komplett!#REF!,"AAAAAFv9vwQ=")</f>
        <v>#REF!</v>
      </c>
      <c r="F5" t="e">
        <f>AND(Komplett!#REF!,"AAAAAFv9vwU=")</f>
        <v>#REF!</v>
      </c>
      <c r="G5" t="e">
        <f>AND(Komplett!#REF!,"AAAAAFv9vwY=")</f>
        <v>#REF!</v>
      </c>
      <c r="H5" t="e">
        <f>AND(Komplett!#REF!,"AAAAAFv9vwc=")</f>
        <v>#REF!</v>
      </c>
      <c r="I5" t="e">
        <f>AND(Komplett!#REF!,"AAAAAFv9vwg=")</f>
        <v>#REF!</v>
      </c>
      <c r="J5" t="e">
        <f>AND(Komplett!#REF!,"AAAAAFv9vwk=")</f>
        <v>#REF!</v>
      </c>
      <c r="K5" t="e">
        <f>AND(Komplett!#REF!,"AAAAAFv9vwo=")</f>
        <v>#REF!</v>
      </c>
      <c r="L5" t="e">
        <f>IF(Komplett!#REF!,"AAAAAFv9vws=",0)</f>
        <v>#REF!</v>
      </c>
      <c r="M5" t="e">
        <f>AND(Komplett!#REF!,"AAAAAFv9vww=")</f>
        <v>#REF!</v>
      </c>
      <c r="N5" t="e">
        <f>AND(Komplett!#REF!,"AAAAAFv9vw0=")</f>
        <v>#REF!</v>
      </c>
      <c r="O5" t="e">
        <f>AND(Komplett!#REF!,"AAAAAFv9vw4=")</f>
        <v>#REF!</v>
      </c>
      <c r="P5" t="e">
        <f>AND(Komplett!#REF!,"AAAAAFv9vw8=")</f>
        <v>#REF!</v>
      </c>
      <c r="Q5" t="e">
        <f>AND(Komplett!#REF!,"AAAAAFv9vxA=")</f>
        <v>#REF!</v>
      </c>
      <c r="R5" t="e">
        <f>AND(Komplett!#REF!,"AAAAAFv9vxE=")</f>
        <v>#REF!</v>
      </c>
      <c r="S5" t="e">
        <f>AND(Komplett!#REF!,"AAAAAFv9vxI=")</f>
        <v>#REF!</v>
      </c>
      <c r="T5" t="e">
        <f>AND(Komplett!#REF!,"AAAAAFv9vxM=")</f>
        <v>#REF!</v>
      </c>
      <c r="U5" t="e">
        <f>AND(Komplett!#REF!,"AAAAAFv9vxQ=")</f>
        <v>#REF!</v>
      </c>
      <c r="V5" t="e">
        <f>AND(Komplett!#REF!,"AAAAAFv9vxU=")</f>
        <v>#REF!</v>
      </c>
      <c r="W5" t="e">
        <f>IF(Komplett!#REF!,"AAAAAFv9vxY=",0)</f>
        <v>#REF!</v>
      </c>
      <c r="X5" t="e">
        <f>AND(Komplett!#REF!,"AAAAAFv9vxc=")</f>
        <v>#REF!</v>
      </c>
      <c r="Y5" t="e">
        <f>AND(Komplett!#REF!,"AAAAAFv9vxg=")</f>
        <v>#REF!</v>
      </c>
      <c r="Z5" t="e">
        <f>AND(Komplett!#REF!,"AAAAAFv9vxk=")</f>
        <v>#REF!</v>
      </c>
      <c r="AA5" t="e">
        <f>AND(Komplett!#REF!,"AAAAAFv9vxo=")</f>
        <v>#REF!</v>
      </c>
      <c r="AB5" t="e">
        <f>AND(Komplett!#REF!,"AAAAAFv9vxs=")</f>
        <v>#REF!</v>
      </c>
      <c r="AC5" t="e">
        <f>AND(Komplett!#REF!,"AAAAAFv9vxw=")</f>
        <v>#REF!</v>
      </c>
      <c r="AD5" t="e">
        <f>AND(Komplett!#REF!,"AAAAAFv9vx0=")</f>
        <v>#REF!</v>
      </c>
      <c r="AE5" t="e">
        <f>AND(Komplett!#REF!,"AAAAAFv9vx4=")</f>
        <v>#REF!</v>
      </c>
      <c r="AF5" t="e">
        <f>AND(Komplett!#REF!,"AAAAAFv9vx8=")</f>
        <v>#REF!</v>
      </c>
      <c r="AG5" t="e">
        <f>AND(Komplett!#REF!,"AAAAAFv9vyA=")</f>
        <v>#REF!</v>
      </c>
      <c r="AH5" t="e">
        <f>IF(Komplett!#REF!,"AAAAAFv9vyE=",0)</f>
        <v>#REF!</v>
      </c>
      <c r="AI5" t="e">
        <f>AND(Komplett!#REF!,"AAAAAFv9vyI=")</f>
        <v>#REF!</v>
      </c>
      <c r="AJ5" t="e">
        <f>AND(Komplett!#REF!,"AAAAAFv9vyM=")</f>
        <v>#REF!</v>
      </c>
      <c r="AK5" t="e">
        <f>AND(Komplett!#REF!,"AAAAAFv9vyQ=")</f>
        <v>#REF!</v>
      </c>
      <c r="AL5" t="e">
        <f>AND(Komplett!#REF!,"AAAAAFv9vyU=")</f>
        <v>#REF!</v>
      </c>
      <c r="AM5" t="e">
        <f>AND(Komplett!#REF!,"AAAAAFv9vyY=")</f>
        <v>#REF!</v>
      </c>
      <c r="AN5" t="e">
        <f>AND(Komplett!#REF!,"AAAAAFv9vyc=")</f>
        <v>#REF!</v>
      </c>
      <c r="AO5" t="e">
        <f>AND(Komplett!#REF!,"AAAAAFv9vyg=")</f>
        <v>#REF!</v>
      </c>
      <c r="AP5" t="e">
        <f>AND(Komplett!#REF!,"AAAAAFv9vyk=")</f>
        <v>#REF!</v>
      </c>
      <c r="AQ5" t="e">
        <f>AND(Komplett!#REF!,"AAAAAFv9vyo=")</f>
        <v>#REF!</v>
      </c>
      <c r="AR5" t="e">
        <f>AND(Komplett!#REF!,"AAAAAFv9vys=")</f>
        <v>#REF!</v>
      </c>
      <c r="AS5">
        <f>IF(Komplett!23:23,"AAAAAFv9vyw=",0)</f>
        <v>0</v>
      </c>
      <c r="AT5" t="e">
        <f>AND(Komplett!A23,"AAAAAFv9vy0=")</f>
        <v>#VALUE!</v>
      </c>
      <c r="AU5" t="e">
        <f>AND(Komplett!B23,"AAAAAFv9vy4=")</f>
        <v>#VALUE!</v>
      </c>
      <c r="AV5" t="e">
        <f>AND(Komplett!C23,"AAAAAFv9vy8=")</f>
        <v>#VALUE!</v>
      </c>
      <c r="AW5" t="e">
        <f>AND(Komplett!D23,"AAAAAFv9vzA=")</f>
        <v>#VALUE!</v>
      </c>
      <c r="AX5" t="e">
        <f>AND(Komplett!E23,"AAAAAFv9vzE=")</f>
        <v>#VALUE!</v>
      </c>
      <c r="AY5" t="e">
        <f>AND(Komplett!F23,"AAAAAFv9vzI=")</f>
        <v>#VALUE!</v>
      </c>
      <c r="AZ5" t="e">
        <f>AND(Komplett!G23,"AAAAAFv9vzM=")</f>
        <v>#VALUE!</v>
      </c>
      <c r="BA5" t="e">
        <f>AND(Komplett!H23,"AAAAAFv9vzQ=")</f>
        <v>#VALUE!</v>
      </c>
      <c r="BB5" t="e">
        <f>AND(Komplett!I23,"AAAAAFv9vzU=")</f>
        <v>#VALUE!</v>
      </c>
      <c r="BC5" t="e">
        <f>AND(Komplett!J23,"AAAAAFv9vzY=")</f>
        <v>#VALUE!</v>
      </c>
      <c r="BD5" t="e">
        <f>AND(Komplett!J25,"AAAAAFv9vzc=")</f>
        <v>#VALUE!</v>
      </c>
      <c r="BE5" t="e">
        <f>AND(Komplett!J26,"AAAAAFv9vzg=")</f>
        <v>#VALUE!</v>
      </c>
      <c r="BF5" t="e">
        <f>AND(Komplett!J28,"AAAAAFv9vzk=")</f>
        <v>#VALUE!</v>
      </c>
      <c r="BG5">
        <f>IF(Rest!1:1,"AAAAAFv9vzo=",0)</f>
        <v>0</v>
      </c>
      <c r="BH5" t="e">
        <f>AND(Rest!A1,"AAAAAFv9vzs=")</f>
        <v>#VALUE!</v>
      </c>
      <c r="BI5" t="e">
        <f>AND(Rest!B1,"AAAAAFv9vzw=")</f>
        <v>#VALUE!</v>
      </c>
      <c r="BJ5" t="e">
        <f>AND(Rest!C1,"AAAAAFv9vz0=")</f>
        <v>#VALUE!</v>
      </c>
      <c r="BK5" t="e">
        <f>AND(Rest!D1,"AAAAAFv9vz4=")</f>
        <v>#VALUE!</v>
      </c>
      <c r="BL5" t="e">
        <f>AND(Rest!E1,"AAAAAFv9vz8=")</f>
        <v>#VALUE!</v>
      </c>
      <c r="BM5" t="e">
        <f>AND(Rest!F1,"AAAAAFv9v0A=")</f>
        <v>#VALUE!</v>
      </c>
      <c r="BN5" t="e">
        <f>AND(Rest!G1,"AAAAAFv9v0E=")</f>
        <v>#VALUE!</v>
      </c>
      <c r="BO5" t="e">
        <f>AND(Rest!H1,"AAAAAFv9v0I=")</f>
        <v>#VALUE!</v>
      </c>
      <c r="BP5" t="e">
        <f>AND(Rest!I1,"AAAAAFv9v0M=")</f>
        <v>#VALUE!</v>
      </c>
      <c r="BQ5" t="e">
        <f>AND(Rest!J1,"AAAAAFv9v0Q=")</f>
        <v>#VALUE!</v>
      </c>
      <c r="BR5">
        <f>IF(Rest!2:2,"AAAAAFv9v0U=",0)</f>
        <v>0</v>
      </c>
      <c r="BS5" t="e">
        <f>AND(Rest!A2,"AAAAAFv9v0Y=")</f>
        <v>#VALUE!</v>
      </c>
      <c r="BT5" t="e">
        <f>AND(Rest!B2,"AAAAAFv9v0c=")</f>
        <v>#VALUE!</v>
      </c>
      <c r="BU5" t="e">
        <f>AND(Rest!C2,"AAAAAFv9v0g=")</f>
        <v>#VALUE!</v>
      </c>
      <c r="BV5" t="e">
        <f>AND(Rest!D2,"AAAAAFv9v0k=")</f>
        <v>#VALUE!</v>
      </c>
      <c r="BW5" t="e">
        <f>AND(Rest!E2,"AAAAAFv9v0o=")</f>
        <v>#VALUE!</v>
      </c>
      <c r="BX5" t="e">
        <f>AND(Rest!F2,"AAAAAFv9v0s=")</f>
        <v>#VALUE!</v>
      </c>
      <c r="BY5" t="e">
        <f>AND(Rest!G2,"AAAAAFv9v0w=")</f>
        <v>#VALUE!</v>
      </c>
      <c r="BZ5" t="e">
        <f>AND(Rest!H2,"AAAAAFv9v00=")</f>
        <v>#VALUE!</v>
      </c>
      <c r="CA5" t="e">
        <f>AND(Rest!I2,"AAAAAFv9v04=")</f>
        <v>#VALUE!</v>
      </c>
      <c r="CB5" t="e">
        <f>AND(Rest!J2,"AAAAAFv9v08=")</f>
        <v>#VALUE!</v>
      </c>
      <c r="CC5">
        <f>IF(Rest!3:3,"AAAAAFv9v1A=",0)</f>
        <v>0</v>
      </c>
      <c r="CD5" t="e">
        <f>AND(Rest!A3,"AAAAAFv9v1E=")</f>
        <v>#VALUE!</v>
      </c>
      <c r="CE5" t="e">
        <f>AND(Rest!B3,"AAAAAFv9v1I=")</f>
        <v>#VALUE!</v>
      </c>
      <c r="CF5" t="e">
        <f>AND(Rest!C3,"AAAAAFv9v1M=")</f>
        <v>#VALUE!</v>
      </c>
      <c r="CG5" t="e">
        <f>AND(Rest!D3,"AAAAAFv9v1Q=")</f>
        <v>#VALUE!</v>
      </c>
      <c r="CH5" t="e">
        <f>AND(Rest!E3,"AAAAAFv9v1U=")</f>
        <v>#VALUE!</v>
      </c>
      <c r="CI5" t="e">
        <f>AND(Rest!F3,"AAAAAFv9v1Y=")</f>
        <v>#VALUE!</v>
      </c>
      <c r="CJ5" t="e">
        <f>AND(Rest!G3,"AAAAAFv9v1c=")</f>
        <v>#VALUE!</v>
      </c>
      <c r="CK5" t="e">
        <f>AND(Rest!H3,"AAAAAFv9v1g=")</f>
        <v>#VALUE!</v>
      </c>
      <c r="CL5" t="e">
        <f>AND(Rest!I3,"AAAAAFv9v1k=")</f>
        <v>#VALUE!</v>
      </c>
      <c r="CM5" t="e">
        <f>AND(Rest!J3,"AAAAAFv9v1o=")</f>
        <v>#VALUE!</v>
      </c>
      <c r="CN5" t="e">
        <f>AND(Rest!B4,"AAAAAFv9v1s=")</f>
        <v>#VALUE!</v>
      </c>
      <c r="CO5" t="e">
        <f>AND(Rest!C4,"AAAAAFv9v1w=")</f>
        <v>#VALUE!</v>
      </c>
      <c r="CP5" t="e">
        <f>AND(Rest!D4,"AAAAAFv9v10=")</f>
        <v>#VALUE!</v>
      </c>
      <c r="CQ5" t="e">
        <f>AND(Rest!E4,"AAAAAFv9v14=")</f>
        <v>#VALUE!</v>
      </c>
      <c r="CR5" t="e">
        <f>AND(Rest!F4,"AAAAAFv9v18=")</f>
        <v>#VALUE!</v>
      </c>
      <c r="CS5" t="e">
        <f>AND(Rest!G4,"AAAAAFv9v2A=")</f>
        <v>#VALUE!</v>
      </c>
      <c r="CT5" t="e">
        <f>AND(Rest!H4,"AAAAAFv9v2E=")</f>
        <v>#VALUE!</v>
      </c>
      <c r="CU5" t="e">
        <f>AND(Rest!I4,"AAAAAFv9v2I=")</f>
        <v>#VALUE!</v>
      </c>
      <c r="CV5" t="e">
        <f>AND(Rest!J4,"AAAAAFv9v2M=")</f>
        <v>#VALUE!</v>
      </c>
      <c r="CW5">
        <f>IF(Rest!5:5,"AAAAAFv9v2Q=",0)</f>
        <v>0</v>
      </c>
      <c r="CX5" t="e">
        <f>AND(Rest!A5,"AAAAAFv9v2U=")</f>
        <v>#VALUE!</v>
      </c>
      <c r="CY5" t="e">
        <f>AND(Rest!B5,"AAAAAFv9v2Y=")</f>
        <v>#VALUE!</v>
      </c>
      <c r="CZ5" t="e">
        <f>AND(Rest!C5,"AAAAAFv9v2c=")</f>
        <v>#VALUE!</v>
      </c>
      <c r="DA5" t="e">
        <f>AND(Rest!D5,"AAAAAFv9v2g=")</f>
        <v>#VALUE!</v>
      </c>
      <c r="DB5" t="e">
        <f>AND(Rest!E5,"AAAAAFv9v2k=")</f>
        <v>#VALUE!</v>
      </c>
      <c r="DC5" t="e">
        <f>AND(Rest!F5,"AAAAAFv9v2o=")</f>
        <v>#VALUE!</v>
      </c>
      <c r="DD5" t="e">
        <f>AND(Rest!G5,"AAAAAFv9v2s=")</f>
        <v>#VALUE!</v>
      </c>
      <c r="DE5" t="e">
        <f>AND(Rest!H5,"AAAAAFv9v2w=")</f>
        <v>#VALUE!</v>
      </c>
      <c r="DF5" t="e">
        <f>AND(Rest!I5,"AAAAAFv9v20=")</f>
        <v>#VALUE!</v>
      </c>
      <c r="DG5" t="e">
        <f>AND(Rest!J5,"AAAAAFv9v24=")</f>
        <v>#VALUE!</v>
      </c>
      <c r="DH5">
        <f>IF(Rest!6:6,"AAAAAFv9v28=",0)</f>
        <v>0</v>
      </c>
      <c r="DI5" t="e">
        <f>AND(Rest!A6,"AAAAAFv9v3A=")</f>
        <v>#VALUE!</v>
      </c>
      <c r="DJ5" t="e">
        <f>AND(Rest!B6,"AAAAAFv9v3E=")</f>
        <v>#VALUE!</v>
      </c>
      <c r="DK5" t="e">
        <f>AND(Rest!C6,"AAAAAFv9v3I=")</f>
        <v>#VALUE!</v>
      </c>
      <c r="DL5" t="e">
        <f>AND(Rest!D6,"AAAAAFv9v3M=")</f>
        <v>#VALUE!</v>
      </c>
      <c r="DM5" t="e">
        <f>AND(Rest!E6,"AAAAAFv9v3Q=")</f>
        <v>#VALUE!</v>
      </c>
      <c r="DN5" t="e">
        <f>AND(Rest!F6,"AAAAAFv9v3U=")</f>
        <v>#VALUE!</v>
      </c>
      <c r="DO5" t="e">
        <f>AND(Rest!G6,"AAAAAFv9v3Y=")</f>
        <v>#VALUE!</v>
      </c>
      <c r="DP5" t="e">
        <f>AND(Rest!H6,"AAAAAFv9v3c=")</f>
        <v>#VALUE!</v>
      </c>
      <c r="DQ5" t="e">
        <f>AND(Rest!I6,"AAAAAFv9v3g=")</f>
        <v>#VALUE!</v>
      </c>
      <c r="DR5" t="e">
        <f>AND(Rest!J6,"AAAAAFv9v3k=")</f>
        <v>#VALUE!</v>
      </c>
      <c r="DS5">
        <f>IF(Rest!7:7,"AAAAAFv9v3o=",0)</f>
        <v>0</v>
      </c>
      <c r="DT5" t="e">
        <f>AND(Rest!A7,"AAAAAFv9v3s=")</f>
        <v>#VALUE!</v>
      </c>
      <c r="DU5" t="e">
        <f>AND(Rest!B7,"AAAAAFv9v3w=")</f>
        <v>#VALUE!</v>
      </c>
      <c r="DV5" t="e">
        <f>AND(Rest!C7,"AAAAAFv9v30=")</f>
        <v>#VALUE!</v>
      </c>
      <c r="DW5" t="e">
        <f>AND(Rest!D7,"AAAAAFv9v34=")</f>
        <v>#VALUE!</v>
      </c>
      <c r="DX5" t="e">
        <f>AND(Rest!E7,"AAAAAFv9v38=")</f>
        <v>#VALUE!</v>
      </c>
      <c r="DY5" t="e">
        <f>AND(Rest!F7,"AAAAAFv9v4A=")</f>
        <v>#VALUE!</v>
      </c>
      <c r="DZ5" t="e">
        <f>AND(Rest!G7,"AAAAAFv9v4E=")</f>
        <v>#VALUE!</v>
      </c>
      <c r="EA5" t="e">
        <f>AND(Rest!H7,"AAAAAFv9v4I=")</f>
        <v>#VALUE!</v>
      </c>
      <c r="EB5" t="e">
        <f>AND(Rest!I7,"AAAAAFv9v4M=")</f>
        <v>#VALUE!</v>
      </c>
      <c r="EC5" t="e">
        <f>AND(Rest!J7,"AAAAAFv9v4Q=")</f>
        <v>#VALUE!</v>
      </c>
      <c r="ED5">
        <f>IF(Rest!8:8,"AAAAAFv9v4U=",0)</f>
        <v>0</v>
      </c>
      <c r="EE5" t="e">
        <f>AND(Rest!A8,"AAAAAFv9v4Y=")</f>
        <v>#VALUE!</v>
      </c>
      <c r="EF5" t="e">
        <f>AND(Rest!B8,"AAAAAFv9v4c=")</f>
        <v>#VALUE!</v>
      </c>
      <c r="EG5" t="e">
        <f>AND(Rest!C8,"AAAAAFv9v4g=")</f>
        <v>#VALUE!</v>
      </c>
      <c r="EH5" t="e">
        <f>AND(Rest!D8,"AAAAAFv9v4k=")</f>
        <v>#VALUE!</v>
      </c>
      <c r="EI5" t="e">
        <f>AND(Rest!E8,"AAAAAFv9v4o=")</f>
        <v>#VALUE!</v>
      </c>
      <c r="EJ5" t="e">
        <f>AND(Rest!F8,"AAAAAFv9v4s=")</f>
        <v>#VALUE!</v>
      </c>
      <c r="EK5" t="e">
        <f>AND(Rest!G8,"AAAAAFv9v4w=")</f>
        <v>#VALUE!</v>
      </c>
      <c r="EL5" t="e">
        <f>AND(Rest!H8,"AAAAAFv9v40=")</f>
        <v>#VALUE!</v>
      </c>
      <c r="EM5" t="e">
        <f>AND(Rest!I8,"AAAAAFv9v44=")</f>
        <v>#VALUE!</v>
      </c>
      <c r="EN5" t="e">
        <f>AND(Rest!J8,"AAAAAFv9v48=")</f>
        <v>#VALUE!</v>
      </c>
      <c r="EO5">
        <f>IF(Rest!9:9,"AAAAAFv9v5A=",0)</f>
        <v>0</v>
      </c>
      <c r="EP5" t="e">
        <f>AND(Rest!A9,"AAAAAFv9v5E=")</f>
        <v>#VALUE!</v>
      </c>
      <c r="EQ5" t="e">
        <f>AND(Rest!B9,"AAAAAFv9v5I=")</f>
        <v>#VALUE!</v>
      </c>
      <c r="ER5" t="e">
        <f>AND(Rest!C9,"AAAAAFv9v5M=")</f>
        <v>#VALUE!</v>
      </c>
      <c r="ES5" t="e">
        <f>AND(Rest!D9,"AAAAAFv9v5Q=")</f>
        <v>#VALUE!</v>
      </c>
      <c r="ET5" t="e">
        <f>AND(Rest!E9,"AAAAAFv9v5U=")</f>
        <v>#VALUE!</v>
      </c>
      <c r="EU5" t="e">
        <f>AND(Rest!F9,"AAAAAFv9v5Y=")</f>
        <v>#VALUE!</v>
      </c>
      <c r="EV5" t="e">
        <f>AND(Rest!G9,"AAAAAFv9v5c=")</f>
        <v>#VALUE!</v>
      </c>
      <c r="EW5" t="e">
        <f>AND(Rest!H9,"AAAAAFv9v5g=")</f>
        <v>#VALUE!</v>
      </c>
      <c r="EX5" t="e">
        <f>AND(Rest!I9,"AAAAAFv9v5k=")</f>
        <v>#VALUE!</v>
      </c>
      <c r="EY5" t="e">
        <f>AND(Rest!J9,"AAAAAFv9v5o=")</f>
        <v>#VALUE!</v>
      </c>
      <c r="EZ5">
        <f>IF(Rest!10:10,"AAAAAFv9v5s=",0)</f>
        <v>0</v>
      </c>
      <c r="FA5" t="e">
        <f>AND(Rest!A10,"AAAAAFv9v5w=")</f>
        <v>#VALUE!</v>
      </c>
      <c r="FB5" t="e">
        <f>AND(Rest!B10,"AAAAAFv9v50=")</f>
        <v>#VALUE!</v>
      </c>
      <c r="FC5" t="e">
        <f>AND(Rest!C10,"AAAAAFv9v54=")</f>
        <v>#VALUE!</v>
      </c>
      <c r="FD5" t="e">
        <f>AND(Rest!D10,"AAAAAFv9v58=")</f>
        <v>#VALUE!</v>
      </c>
      <c r="FE5" t="e">
        <f>AND(Rest!E10,"AAAAAFv9v6A=")</f>
        <v>#VALUE!</v>
      </c>
      <c r="FF5" t="e">
        <f>AND(Rest!F10,"AAAAAFv9v6E=")</f>
        <v>#VALUE!</v>
      </c>
      <c r="FG5" t="e">
        <f>AND(Rest!G10,"AAAAAFv9v6I=")</f>
        <v>#VALUE!</v>
      </c>
      <c r="FH5" t="e">
        <f>AND(Rest!H10,"AAAAAFv9v6M=")</f>
        <v>#VALUE!</v>
      </c>
      <c r="FI5" t="e">
        <f>AND(Rest!I10,"AAAAAFv9v6Q=")</f>
        <v>#VALUE!</v>
      </c>
      <c r="FJ5" t="e">
        <f>AND(Rest!J10,"AAAAAFv9v6U=")</f>
        <v>#VALUE!</v>
      </c>
      <c r="FK5">
        <f>IF(Rest!11:11,"AAAAAFv9v6Y=",0)</f>
        <v>0</v>
      </c>
      <c r="FL5" t="e">
        <f>AND(Rest!A11,"AAAAAFv9v6c=")</f>
        <v>#VALUE!</v>
      </c>
      <c r="FM5" t="e">
        <f>AND(Rest!B11,"AAAAAFv9v6g=")</f>
        <v>#VALUE!</v>
      </c>
      <c r="FN5" t="e">
        <f>AND(Rest!C11,"AAAAAFv9v6k=")</f>
        <v>#VALUE!</v>
      </c>
      <c r="FO5" t="e">
        <f>AND(Rest!D11,"AAAAAFv9v6o=")</f>
        <v>#VALUE!</v>
      </c>
      <c r="FP5" t="e">
        <f>AND(Rest!E11,"AAAAAFv9v6s=")</f>
        <v>#VALUE!</v>
      </c>
      <c r="FQ5" t="e">
        <f>AND(Rest!F11,"AAAAAFv9v6w=")</f>
        <v>#VALUE!</v>
      </c>
      <c r="FR5" t="e">
        <f>AND(Rest!G11,"AAAAAFv9v60=")</f>
        <v>#VALUE!</v>
      </c>
      <c r="FS5" t="e">
        <f>AND(Rest!H11,"AAAAAFv9v64=")</f>
        <v>#VALUE!</v>
      </c>
      <c r="FT5" t="e">
        <f>AND(Rest!I11,"AAAAAFv9v68=")</f>
        <v>#VALUE!</v>
      </c>
      <c r="FU5" t="e">
        <f>AND(Rest!J11,"AAAAAFv9v7A=")</f>
        <v>#VALUE!</v>
      </c>
      <c r="FV5">
        <f>IF(Rest!12:12,"AAAAAFv9v7E=",0)</f>
        <v>0</v>
      </c>
      <c r="FW5">
        <f>IF(Rest!13:13,"AAAAAFv9v7I=",0)</f>
        <v>0</v>
      </c>
      <c r="FX5">
        <f>IF(Rest!14:14,"AAAAAFv9v7M=",0)</f>
        <v>0</v>
      </c>
      <c r="FY5">
        <f>IF(Rest!15:15,"AAAAAFv9v7Q=",0)</f>
        <v>0</v>
      </c>
      <c r="FZ5">
        <f>IF(Rest!16:16,"AAAAAFv9v7U=",0)</f>
        <v>0</v>
      </c>
      <c r="GA5">
        <f>IF(Rest!17:17,"AAAAAFv9v7Y=",0)</f>
        <v>0</v>
      </c>
      <c r="GB5">
        <f>IF(Rest!18:18,"AAAAAFv9v7c=",0)</f>
        <v>0</v>
      </c>
      <c r="GC5" t="e">
        <f>IF(Rest!B:B,"AAAAAFv9v7g=",0)</f>
        <v>#VALUE!</v>
      </c>
      <c r="GD5" t="e">
        <f>IF(Rest!C:C,"AAAAAFv9v7k=",0)</f>
        <v>#VALUE!</v>
      </c>
      <c r="GE5" t="e">
        <f>IF(Rest!D:D,"AAAAAFv9v7o=",0)</f>
        <v>#VALUE!</v>
      </c>
      <c r="GF5" t="e">
        <f>IF(Rest!E:E,"AAAAAFv9v7s=",0)</f>
        <v>#VALUE!</v>
      </c>
      <c r="GG5" t="e">
        <f>IF(Rest!F:F,"AAAAAFv9v7w=",0)</f>
        <v>#VALUE!</v>
      </c>
      <c r="GH5" t="e">
        <f>IF(Rest!G:G,"AAAAAFv9v70=",0)</f>
        <v>#VALUE!</v>
      </c>
      <c r="GI5" t="e">
        <f>IF(Rest!H:H,"AAAAAFv9v74=",0)</f>
        <v>#VALUE!</v>
      </c>
      <c r="GJ5" t="e">
        <f>IF(Rest!I:I,"AAAAAFv9v78=",0)</f>
        <v>#VALUE!</v>
      </c>
      <c r="GK5" t="e">
        <f>IF(Rest!J:J,"AAAAAFv9v8A=",0)</f>
        <v>#VALUE!</v>
      </c>
    </row>
    <row r="6" spans="1:142" ht="15">
      <c r="A6" t="e">
        <f>IF(Komplett!12:12,"AAAAAD/5/wA=",0)</f>
        <v>#VALUE!</v>
      </c>
      <c r="B6" t="e">
        <f>AND(Komplett!A12,"AAAAAD/5/wE=")</f>
        <v>#VALUE!</v>
      </c>
      <c r="C6" t="e">
        <f>AND(Komplett!B12,"AAAAAD/5/wI=")</f>
        <v>#VALUE!</v>
      </c>
      <c r="D6" t="e">
        <f>AND(Komplett!C12,"AAAAAD/5/wM=")</f>
        <v>#VALUE!</v>
      </c>
      <c r="E6" t="e">
        <f>AND(Komplett!D12,"AAAAAD/5/wQ=")</f>
        <v>#VALUE!</v>
      </c>
      <c r="F6" t="e">
        <f>AND(Komplett!E12,"AAAAAD/5/wU=")</f>
        <v>#VALUE!</v>
      </c>
      <c r="G6" t="e">
        <f>AND(Komplett!F12,"AAAAAD/5/wY=")</f>
        <v>#VALUE!</v>
      </c>
      <c r="H6" t="e">
        <f>AND(Komplett!G12,"AAAAAD/5/wc=")</f>
        <v>#VALUE!</v>
      </c>
      <c r="I6" t="e">
        <f>AND(Komplett!H12,"AAAAAD/5/wg=")</f>
        <v>#VALUE!</v>
      </c>
      <c r="J6" t="e">
        <f>AND(Komplett!I12,"AAAAAD/5/wk=")</f>
        <v>#VALUE!</v>
      </c>
      <c r="K6" t="e">
        <f>AND(Komplett!J12,"AAAAAD/5/wo=")</f>
        <v>#VALUE!</v>
      </c>
      <c r="L6">
        <f>IF(Komplett!13:13,"AAAAAD/5/ws=",0)</f>
        <v>0</v>
      </c>
      <c r="M6" t="e">
        <f>AND(Komplett!A13,"AAAAAD/5/ww=")</f>
        <v>#VALUE!</v>
      </c>
      <c r="N6" t="e">
        <f>AND(Komplett!B13,"AAAAAD/5/w0=")</f>
        <v>#VALUE!</v>
      </c>
      <c r="O6" t="e">
        <f>AND(Komplett!C13,"AAAAAD/5/w4=")</f>
        <v>#VALUE!</v>
      </c>
      <c r="P6" t="e">
        <f>AND(Komplett!D13,"AAAAAD/5/w8=")</f>
        <v>#VALUE!</v>
      </c>
      <c r="Q6" t="e">
        <f>AND(Komplett!E13,"AAAAAD/5/xA=")</f>
        <v>#VALUE!</v>
      </c>
      <c r="R6" t="e">
        <f>AND(Komplett!F13,"AAAAAD/5/xE=")</f>
        <v>#VALUE!</v>
      </c>
      <c r="S6" t="e">
        <f>AND(Komplett!G13,"AAAAAD/5/xI=")</f>
        <v>#VALUE!</v>
      </c>
      <c r="T6" t="e">
        <f>AND(Komplett!H13,"AAAAAD/5/xM=")</f>
        <v>#VALUE!</v>
      </c>
      <c r="U6" t="e">
        <f>AND(Komplett!I13,"AAAAAD/5/xQ=")</f>
        <v>#VALUE!</v>
      </c>
      <c r="V6" t="e">
        <f>AND(Komplett!J13,"AAAAAD/5/xU=")</f>
        <v>#VALUE!</v>
      </c>
      <c r="W6">
        <f>IF(Komplett!14:14,"AAAAAD/5/xY=",0)</f>
        <v>0</v>
      </c>
      <c r="X6" t="e">
        <f>AND(Komplett!A14,"AAAAAD/5/xc=")</f>
        <v>#VALUE!</v>
      </c>
      <c r="Y6" t="e">
        <f>AND(Komplett!B14,"AAAAAD/5/xg=")</f>
        <v>#VALUE!</v>
      </c>
      <c r="Z6" t="e">
        <f>AND(Komplett!C14,"AAAAAD/5/xk=")</f>
        <v>#VALUE!</v>
      </c>
      <c r="AA6" t="e">
        <f>AND(Komplett!D14,"AAAAAD/5/xo=")</f>
        <v>#VALUE!</v>
      </c>
      <c r="AB6" t="e">
        <f>AND(Komplett!E14,"AAAAAD/5/xs=")</f>
        <v>#VALUE!</v>
      </c>
      <c r="AC6" t="e">
        <f>AND(Komplett!F14,"AAAAAD/5/xw=")</f>
        <v>#VALUE!</v>
      </c>
      <c r="AD6" t="e">
        <f>AND(Komplett!G14,"AAAAAD/5/x0=")</f>
        <v>#VALUE!</v>
      </c>
      <c r="AE6" t="e">
        <f>AND(Komplett!H14,"AAAAAD/5/x4=")</f>
        <v>#VALUE!</v>
      </c>
      <c r="AF6" t="e">
        <f>AND(Komplett!I14,"AAAAAD/5/x8=")</f>
        <v>#VALUE!</v>
      </c>
      <c r="AG6" t="e">
        <f>AND(Komplett!J14,"AAAAAD/5/yA=")</f>
        <v>#VALUE!</v>
      </c>
      <c r="AH6">
        <f>IF(Komplett!15:15,"AAAAAD/5/yE=",0)</f>
        <v>0</v>
      </c>
      <c r="AI6" t="e">
        <f>AND(Komplett!A15,"AAAAAD/5/yI=")</f>
        <v>#VALUE!</v>
      </c>
      <c r="AJ6" t="e">
        <f>AND(Komplett!B15,"AAAAAD/5/yM=")</f>
        <v>#VALUE!</v>
      </c>
      <c r="AK6" t="e">
        <f>AND(Komplett!C15,"AAAAAD/5/yQ=")</f>
        <v>#VALUE!</v>
      </c>
      <c r="AL6" t="e">
        <f>AND(Komplett!D15,"AAAAAD/5/yU=")</f>
        <v>#VALUE!</v>
      </c>
      <c r="AM6" t="e">
        <f>AND(Komplett!E15,"AAAAAD/5/yY=")</f>
        <v>#VALUE!</v>
      </c>
      <c r="AN6" t="e">
        <f>AND(Komplett!F15,"AAAAAD/5/yc=")</f>
        <v>#VALUE!</v>
      </c>
      <c r="AO6" t="e">
        <f>AND(Komplett!G15,"AAAAAD/5/yg=")</f>
        <v>#VALUE!</v>
      </c>
      <c r="AP6" t="e">
        <f>AND(Komplett!H15,"AAAAAD/5/yk=")</f>
        <v>#VALUE!</v>
      </c>
      <c r="AQ6" t="e">
        <f>AND(Komplett!I15,"AAAAAD/5/yo=")</f>
        <v>#VALUE!</v>
      </c>
      <c r="AR6" t="e">
        <f>AND(Komplett!J15,"AAAAAD/5/ys=")</f>
        <v>#VALUE!</v>
      </c>
      <c r="AS6">
        <f>IF(Komplett!16:16,"AAAAAD/5/yw=",0)</f>
        <v>0</v>
      </c>
      <c r="AT6" t="e">
        <f>AND(Komplett!A16,"AAAAAD/5/y0=")</f>
        <v>#VALUE!</v>
      </c>
      <c r="AU6" t="e">
        <f>AND(Komplett!B16,"AAAAAD/5/y4=")</f>
        <v>#VALUE!</v>
      </c>
      <c r="AV6" t="e">
        <f>AND(Komplett!C16,"AAAAAD/5/y8=")</f>
        <v>#VALUE!</v>
      </c>
      <c r="AW6" t="e">
        <f>AND(Komplett!D16,"AAAAAD/5/zA=")</f>
        <v>#VALUE!</v>
      </c>
      <c r="AX6" t="e">
        <f>AND(Komplett!E16,"AAAAAD/5/zE=")</f>
        <v>#VALUE!</v>
      </c>
      <c r="AY6" t="e">
        <f>AND(Komplett!F16,"AAAAAD/5/zI=")</f>
        <v>#VALUE!</v>
      </c>
      <c r="AZ6" t="e">
        <f>AND(Komplett!G16,"AAAAAD/5/zM=")</f>
        <v>#VALUE!</v>
      </c>
      <c r="BA6" t="e">
        <f>AND(Komplett!H16,"AAAAAD/5/zQ=")</f>
        <v>#VALUE!</v>
      </c>
      <c r="BB6" t="e">
        <f>AND(Komplett!I16,"AAAAAD/5/zU=")</f>
        <v>#VALUE!</v>
      </c>
      <c r="BC6" t="e">
        <f>AND(Komplett!J16,"AAAAAD/5/zY=")</f>
        <v>#VALUE!</v>
      </c>
      <c r="BD6">
        <f>IF(Komplett!17:17,"AAAAAD/5/zc=",0)</f>
        <v>0</v>
      </c>
      <c r="BE6" t="e">
        <f>AND(Komplett!A17,"AAAAAD/5/zg=")</f>
        <v>#VALUE!</v>
      </c>
      <c r="BF6" t="e">
        <f>AND(Komplett!B17,"AAAAAD/5/zk=")</f>
        <v>#VALUE!</v>
      </c>
      <c r="BG6" t="e">
        <f>AND(Komplett!C17,"AAAAAD/5/zo=")</f>
        <v>#VALUE!</v>
      </c>
      <c r="BH6" t="e">
        <f>AND(Komplett!D17,"AAAAAD/5/zs=")</f>
        <v>#VALUE!</v>
      </c>
      <c r="BI6" t="e">
        <f>AND(Komplett!E17,"AAAAAD/5/zw=")</f>
        <v>#VALUE!</v>
      </c>
      <c r="BJ6" t="e">
        <f>AND(Komplett!F17,"AAAAAD/5/z0=")</f>
        <v>#VALUE!</v>
      </c>
      <c r="BK6" t="e">
        <f>AND(Komplett!G17,"AAAAAD/5/z4=")</f>
        <v>#VALUE!</v>
      </c>
      <c r="BL6" t="e">
        <f>AND(Komplett!H17,"AAAAAD/5/z8=")</f>
        <v>#VALUE!</v>
      </c>
      <c r="BM6" t="e">
        <f>AND(Komplett!I17,"AAAAAD/5/0A=")</f>
        <v>#VALUE!</v>
      </c>
      <c r="BN6" t="e">
        <f>AND(Komplett!J17,"AAAAAD/5/0E=")</f>
        <v>#VALUE!</v>
      </c>
      <c r="BO6">
        <f>IF(Komplett!18:18,"AAAAAD/5/0I=",0)</f>
        <v>0</v>
      </c>
      <c r="BP6" t="e">
        <f>AND(Komplett!A18,"AAAAAD/5/0M=")</f>
        <v>#VALUE!</v>
      </c>
      <c r="BQ6" t="e">
        <f>AND(Komplett!B18,"AAAAAD/5/0Q=")</f>
        <v>#VALUE!</v>
      </c>
      <c r="BR6" t="e">
        <f>AND(Komplett!C18,"AAAAAD/5/0U=")</f>
        <v>#VALUE!</v>
      </c>
      <c r="BS6" t="e">
        <f>AND(Komplett!D18,"AAAAAD/5/0Y=")</f>
        <v>#VALUE!</v>
      </c>
      <c r="BT6" t="e">
        <f>AND(Komplett!E18,"AAAAAD/5/0c=")</f>
        <v>#VALUE!</v>
      </c>
      <c r="BU6" t="e">
        <f>AND(Komplett!F18,"AAAAAD/5/0g=")</f>
        <v>#VALUE!</v>
      </c>
      <c r="BV6" t="e">
        <f>AND(Komplett!G18,"AAAAAD/5/0k=")</f>
        <v>#VALUE!</v>
      </c>
      <c r="BW6" t="e">
        <f>AND(Komplett!H18,"AAAAAD/5/0o=")</f>
        <v>#VALUE!</v>
      </c>
      <c r="BX6" t="e">
        <f>AND(Komplett!I18,"AAAAAD/5/0s=")</f>
        <v>#VALUE!</v>
      </c>
      <c r="BY6" t="e">
        <f>AND(Komplett!J18,"AAAAAD/5/0w=")</f>
        <v>#VALUE!</v>
      </c>
      <c r="BZ6">
        <f>IF(Komplett!19:19,"AAAAAD/5/00=",0)</f>
        <v>0</v>
      </c>
      <c r="CA6" t="e">
        <f>AND(Komplett!A19,"AAAAAD/5/04=")</f>
        <v>#VALUE!</v>
      </c>
      <c r="CB6" t="e">
        <f>AND(Komplett!B19,"AAAAAD/5/08=")</f>
        <v>#VALUE!</v>
      </c>
      <c r="CC6" t="e">
        <f>AND(Komplett!C19,"AAAAAD/5/1A=")</f>
        <v>#VALUE!</v>
      </c>
      <c r="CD6" t="e">
        <f>AND(Komplett!D19,"AAAAAD/5/1E=")</f>
        <v>#VALUE!</v>
      </c>
      <c r="CE6" t="e">
        <f>AND(Komplett!E19,"AAAAAD/5/1I=")</f>
        <v>#VALUE!</v>
      </c>
      <c r="CF6" t="e">
        <f>AND(Komplett!F19,"AAAAAD/5/1M=")</f>
        <v>#VALUE!</v>
      </c>
      <c r="CG6" t="e">
        <f>AND(Komplett!G19,"AAAAAD/5/1Q=")</f>
        <v>#VALUE!</v>
      </c>
      <c r="CH6" t="e">
        <f>AND(Komplett!H19,"AAAAAD/5/1U=")</f>
        <v>#VALUE!</v>
      </c>
      <c r="CI6" t="e">
        <f>AND(Komplett!I19,"AAAAAD/5/1Y=")</f>
        <v>#VALUE!</v>
      </c>
      <c r="CJ6" t="e">
        <f>AND(Komplett!J19,"AAAAAD/5/1c=")</f>
        <v>#VALUE!</v>
      </c>
      <c r="CK6">
        <f>IF(Komplett!20:20,"AAAAAD/5/1g=",0)</f>
        <v>0</v>
      </c>
      <c r="CL6" t="e">
        <f>AND(Komplett!A20,"AAAAAD/5/1k=")</f>
        <v>#VALUE!</v>
      </c>
      <c r="CM6" t="e">
        <f>AND(Komplett!B20,"AAAAAD/5/1o=")</f>
        <v>#VALUE!</v>
      </c>
      <c r="CN6" t="e">
        <f>AND(Komplett!C20,"AAAAAD/5/1s=")</f>
        <v>#VALUE!</v>
      </c>
      <c r="CO6" t="e">
        <f>AND(Komplett!D20,"AAAAAD/5/1w=")</f>
        <v>#VALUE!</v>
      </c>
      <c r="CP6" t="e">
        <f>AND(Komplett!E20,"AAAAAD/5/10=")</f>
        <v>#VALUE!</v>
      </c>
      <c r="CQ6" t="e">
        <f>AND(Komplett!F20,"AAAAAD/5/14=")</f>
        <v>#VALUE!</v>
      </c>
      <c r="CR6" t="e">
        <f>AND(Komplett!G20,"AAAAAD/5/18=")</f>
        <v>#VALUE!</v>
      </c>
      <c r="CS6" t="e">
        <f>AND(Komplett!H20,"AAAAAD/5/2A=")</f>
        <v>#VALUE!</v>
      </c>
      <c r="CT6" t="e">
        <f>AND(Komplett!I20,"AAAAAD/5/2E=")</f>
        <v>#VALUE!</v>
      </c>
      <c r="CU6" t="e">
        <f>AND(Komplett!J20,"AAAAAD/5/2I=")</f>
        <v>#VALUE!</v>
      </c>
      <c r="CV6">
        <f>IF(Komplett!21:21,"AAAAAD/5/2M=",0)</f>
        <v>0</v>
      </c>
      <c r="CW6" t="e">
        <f>AND(Komplett!A21,"AAAAAD/5/2Q=")</f>
        <v>#VALUE!</v>
      </c>
      <c r="CX6" t="e">
        <f>AND(Komplett!B21,"AAAAAD/5/2U=")</f>
        <v>#VALUE!</v>
      </c>
      <c r="CY6" t="e">
        <f>AND(Komplett!C21,"AAAAAD/5/2Y=")</f>
        <v>#VALUE!</v>
      </c>
      <c r="CZ6" t="e">
        <f>AND(Komplett!D21,"AAAAAD/5/2c=")</f>
        <v>#VALUE!</v>
      </c>
      <c r="DA6" t="e">
        <f>AND(Komplett!E21,"AAAAAD/5/2g=")</f>
        <v>#VALUE!</v>
      </c>
      <c r="DB6" t="e">
        <f>AND(Komplett!F21,"AAAAAD/5/2k=")</f>
        <v>#VALUE!</v>
      </c>
      <c r="DC6" t="e">
        <f>AND(Komplett!G21,"AAAAAD/5/2o=")</f>
        <v>#VALUE!</v>
      </c>
      <c r="DD6" t="e">
        <f>AND(Komplett!H21,"AAAAAD/5/2s=")</f>
        <v>#VALUE!</v>
      </c>
      <c r="DE6" t="e">
        <f>AND(Komplett!I21,"AAAAAD/5/2w=")</f>
        <v>#VALUE!</v>
      </c>
      <c r="DF6" t="e">
        <f>AND(Komplett!J21,"AAAAAD/5/20=")</f>
        <v>#VALUE!</v>
      </c>
      <c r="DG6">
        <f>IF(Komplett!22:22,"AAAAAD/5/24=",0)</f>
        <v>0</v>
      </c>
      <c r="DH6" t="e">
        <f>AND(Komplett!A22,"AAAAAD/5/28=")</f>
        <v>#VALUE!</v>
      </c>
      <c r="DI6" t="e">
        <f>AND(Komplett!B22,"AAAAAD/5/3A=")</f>
        <v>#VALUE!</v>
      </c>
      <c r="DJ6" t="e">
        <f>AND(Komplett!C22,"AAAAAD/5/3E=")</f>
        <v>#VALUE!</v>
      </c>
      <c r="DK6" t="e">
        <f>AND(Komplett!D22,"AAAAAD/5/3I=")</f>
        <v>#VALUE!</v>
      </c>
      <c r="DL6" t="e">
        <f>AND(Komplett!E22,"AAAAAD/5/3M=")</f>
        <v>#VALUE!</v>
      </c>
      <c r="DM6" t="e">
        <f>AND(Komplett!F22,"AAAAAD/5/3Q=")</f>
        <v>#VALUE!</v>
      </c>
      <c r="DN6" t="e">
        <f>AND(Komplett!G22,"AAAAAD/5/3U=")</f>
        <v>#VALUE!</v>
      </c>
      <c r="DO6" t="e">
        <f>AND(Komplett!H22,"AAAAAD/5/3Y=")</f>
        <v>#VALUE!</v>
      </c>
      <c r="DP6" t="e">
        <f>AND(Komplett!I22,"AAAAAD/5/3c=")</f>
        <v>#VALUE!</v>
      </c>
      <c r="DQ6" t="e">
        <f>AND(Komplett!J22,"AAAAAD/5/3g=")</f>
        <v>#VALUE!</v>
      </c>
      <c r="DR6">
        <f>IF(Komplett!32:32,"AAAAAD/5/3k=",0)</f>
        <v>0</v>
      </c>
      <c r="DS6">
        <f>IF(Komplett!33:33,"AAAAAD/5/3o=",0)</f>
        <v>0</v>
      </c>
      <c r="DT6">
        <f>IF(Komplett!34:34,"AAAAAD/5/3s=",0)</f>
        <v>0</v>
      </c>
      <c r="DU6">
        <f>IF(Komplett!35:35,"AAAAAD/5/3w=",0)</f>
        <v>0</v>
      </c>
      <c r="DV6">
        <f>IF(Komplett!36:36,"AAAAAD/5/30=",0)</f>
        <v>0</v>
      </c>
      <c r="DW6">
        <f>IF(Komplett!37:37,"AAAAAD/5/34=",0)</f>
        <v>0</v>
      </c>
      <c r="DX6">
        <f>IF(Komplett!38:38,"AAAAAD/5/38=",0)</f>
        <v>0</v>
      </c>
      <c r="DY6">
        <f>IF(Komplett!39:39,"AAAAAD/5/4A=",0)</f>
        <v>0</v>
      </c>
      <c r="DZ6">
        <f>IF(Komplett!40:40,"AAAAAD/5/4E=",0)</f>
        <v>0</v>
      </c>
      <c r="EA6">
        <f>IF(Komplett!41:41,"AAAAAD/5/4I=",0)</f>
        <v>0</v>
      </c>
      <c r="EB6">
        <f>IF(Komplett!42:42,"AAAAAD/5/4M=",0)</f>
        <v>0</v>
      </c>
      <c r="EC6">
        <f>IF(Komplett!43:43,"AAAAAD/5/4Q=",0)</f>
        <v>0</v>
      </c>
      <c r="ED6">
        <f>IF(Komplett!44:44,"AAAAAD/5/4U=",0)</f>
        <v>0</v>
      </c>
      <c r="EE6">
        <f>IF(Komplett!45:45,"AAAAAD/5/4Y=",0)</f>
        <v>0</v>
      </c>
      <c r="EF6">
        <f>IF(Komplett!46:46,"AAAAAD/5/4c=",0)</f>
        <v>0</v>
      </c>
      <c r="EG6">
        <f>IF(Komplett!47:47,"AAAAAD/5/4g=",0)</f>
        <v>0</v>
      </c>
      <c r="EH6">
        <f>IF(Komplett!48:48,"AAAAAD/5/4k=",0)</f>
        <v>0</v>
      </c>
      <c r="EI6">
        <f>IF(Komplett!49:49,"AAAAAD/5/4o=",0)</f>
        <v>0</v>
      </c>
      <c r="EJ6">
        <f>IF(Komplett!50:50,"AAAAAD/5/4s=",0)</f>
        <v>0</v>
      </c>
      <c r="EK6">
        <f>IF(Komplett!51:51,"AAAAAD/5/4w=",0)</f>
        <v>0</v>
      </c>
      <c r="EL6">
        <f>IF(Komplett!52:52,"AAAAAD/5/40=",0)</f>
        <v>0</v>
      </c>
    </row>
    <row r="7" spans="1:256" ht="15">
      <c r="A7">
        <f>IF(Alt!1:1,"AAAAAE3+ewA=",0)</f>
        <v>0</v>
      </c>
      <c r="B7" t="e">
        <f>AND(Alt!A1,"AAAAAE3+ewE=")</f>
        <v>#VALUE!</v>
      </c>
      <c r="C7" t="e">
        <f>AND(Alt!B1,"AAAAAE3+ewI=")</f>
        <v>#VALUE!</v>
      </c>
      <c r="D7" t="e">
        <f>AND(Alt!C1,"AAAAAE3+ewM=")</f>
        <v>#VALUE!</v>
      </c>
      <c r="E7" t="e">
        <f>AND(Alt!D1,"AAAAAE3+ewQ=")</f>
        <v>#VALUE!</v>
      </c>
      <c r="F7" t="e">
        <f>AND(Alt!E1,"AAAAAE3+ewU=")</f>
        <v>#VALUE!</v>
      </c>
      <c r="G7" t="e">
        <f>AND(Alt!F1,"AAAAAE3+ewY=")</f>
        <v>#VALUE!</v>
      </c>
      <c r="H7" t="e">
        <f>AND(Alt!G1,"AAAAAE3+ewc=")</f>
        <v>#VALUE!</v>
      </c>
      <c r="I7" t="e">
        <f>AND(Alt!H1,"AAAAAE3+ewg=")</f>
        <v>#VALUE!</v>
      </c>
      <c r="J7" t="e">
        <f>AND(Alt!I1,"AAAAAE3+ewk=")</f>
        <v>#VALUE!</v>
      </c>
      <c r="K7" t="e">
        <f>AND(Alt!J1,"AAAAAE3+ewo=")</f>
        <v>#VALUE!</v>
      </c>
      <c r="L7">
        <f>IF(Alt!2:2,"AAAAAE3+ews=",0)</f>
        <v>0</v>
      </c>
      <c r="M7" t="e">
        <f>AND(Alt!A2,"AAAAAE3+eww=")</f>
        <v>#VALUE!</v>
      </c>
      <c r="N7" t="e">
        <f>AND(Alt!B2,"AAAAAE3+ew0=")</f>
        <v>#VALUE!</v>
      </c>
      <c r="O7" t="e">
        <f>AND(Alt!C2,"AAAAAE3+ew4=")</f>
        <v>#VALUE!</v>
      </c>
      <c r="P7" t="e">
        <f>AND(Alt!D2,"AAAAAE3+ew8=")</f>
        <v>#VALUE!</v>
      </c>
      <c r="Q7" t="e">
        <f>AND(Alt!E2,"AAAAAE3+exA=")</f>
        <v>#VALUE!</v>
      </c>
      <c r="R7" t="e">
        <f>AND(Alt!F2,"AAAAAE3+exE=")</f>
        <v>#VALUE!</v>
      </c>
      <c r="S7" t="e">
        <f>AND(Alt!G2,"AAAAAE3+exI=")</f>
        <v>#VALUE!</v>
      </c>
      <c r="T7" t="e">
        <f>AND(Alt!H2,"AAAAAE3+exM=")</f>
        <v>#VALUE!</v>
      </c>
      <c r="U7" t="e">
        <f>AND(Alt!I2,"AAAAAE3+exQ=")</f>
        <v>#VALUE!</v>
      </c>
      <c r="V7" t="e">
        <f>AND(Alt!J2,"AAAAAE3+exU=")</f>
        <v>#VALUE!</v>
      </c>
      <c r="W7">
        <f>IF(Alt!3:3,"AAAAAE3+exY=",0)</f>
        <v>0</v>
      </c>
      <c r="X7" t="e">
        <f>AND(Alt!A3,"AAAAAE3+exc=")</f>
        <v>#VALUE!</v>
      </c>
      <c r="Y7" t="e">
        <f>AND(Alt!B3,"AAAAAE3+exg=")</f>
        <v>#VALUE!</v>
      </c>
      <c r="Z7" t="e">
        <f>AND(Alt!C3,"AAAAAE3+exk=")</f>
        <v>#VALUE!</v>
      </c>
      <c r="AA7" t="e">
        <f>AND(Alt!D3,"AAAAAE3+exo=")</f>
        <v>#VALUE!</v>
      </c>
      <c r="AB7" t="e">
        <f>AND(Alt!E3,"AAAAAE3+exs=")</f>
        <v>#VALUE!</v>
      </c>
      <c r="AC7" t="e">
        <f>AND(Alt!F3,"AAAAAE3+exw=")</f>
        <v>#VALUE!</v>
      </c>
      <c r="AD7" t="e">
        <f>AND(Alt!G3,"AAAAAE3+ex0=")</f>
        <v>#VALUE!</v>
      </c>
      <c r="AE7" t="e">
        <f>AND(Alt!H3,"AAAAAE3+ex4=")</f>
        <v>#VALUE!</v>
      </c>
      <c r="AF7" t="e">
        <f>AND(Alt!I3,"AAAAAE3+ex8=")</f>
        <v>#VALUE!</v>
      </c>
      <c r="AG7" t="e">
        <f>AND(Alt!J3,"AAAAAE3+eyA=")</f>
        <v>#VALUE!</v>
      </c>
      <c r="AH7">
        <f>IF(Alt!4:4,"AAAAAE3+eyE=",0)</f>
        <v>0</v>
      </c>
      <c r="AI7" t="e">
        <f>AND(Alt!A4,"AAAAAE3+eyI=")</f>
        <v>#VALUE!</v>
      </c>
      <c r="AJ7" t="e">
        <f>AND(Alt!B4,"AAAAAE3+eyM=")</f>
        <v>#VALUE!</v>
      </c>
      <c r="AK7" t="e">
        <f>AND(Alt!C4,"AAAAAE3+eyQ=")</f>
        <v>#VALUE!</v>
      </c>
      <c r="AL7" t="e">
        <f>AND(Alt!D4,"AAAAAE3+eyU=")</f>
        <v>#VALUE!</v>
      </c>
      <c r="AM7" t="e">
        <f>AND(Alt!E4,"AAAAAE3+eyY=")</f>
        <v>#VALUE!</v>
      </c>
      <c r="AN7" t="e">
        <f>AND(Alt!F4,"AAAAAE3+eyc=")</f>
        <v>#VALUE!</v>
      </c>
      <c r="AO7" t="e">
        <f>AND(Alt!G4,"AAAAAE3+eyg=")</f>
        <v>#VALUE!</v>
      </c>
      <c r="AP7" t="e">
        <f>AND(Alt!H4,"AAAAAE3+eyk=")</f>
        <v>#VALUE!</v>
      </c>
      <c r="AQ7" t="e">
        <f>AND(Alt!I4,"AAAAAE3+eyo=")</f>
        <v>#VALUE!</v>
      </c>
      <c r="AR7" t="e">
        <f>AND(Alt!J4,"AAAAAE3+eys=")</f>
        <v>#VALUE!</v>
      </c>
      <c r="AS7">
        <f>IF(Alt!5:5,"AAAAAE3+eyw=",0)</f>
        <v>0</v>
      </c>
      <c r="AT7" t="e">
        <f>AND(Alt!A5,"AAAAAE3+ey0=")</f>
        <v>#VALUE!</v>
      </c>
      <c r="AU7" t="e">
        <f>AND(Alt!B5,"AAAAAE3+ey4=")</f>
        <v>#VALUE!</v>
      </c>
      <c r="AV7" t="e">
        <f>AND(Alt!C5,"AAAAAE3+ey8=")</f>
        <v>#VALUE!</v>
      </c>
      <c r="AW7" t="e">
        <f>AND(Alt!D5,"AAAAAE3+ezA=")</f>
        <v>#VALUE!</v>
      </c>
      <c r="AX7" t="e">
        <f>AND(Alt!E5,"AAAAAE3+ezE=")</f>
        <v>#VALUE!</v>
      </c>
      <c r="AY7" t="e">
        <f>AND(Alt!F5,"AAAAAE3+ezI=")</f>
        <v>#VALUE!</v>
      </c>
      <c r="AZ7" t="e">
        <f>AND(Alt!G5,"AAAAAE3+ezM=")</f>
        <v>#VALUE!</v>
      </c>
      <c r="BA7" t="e">
        <f>AND(Alt!H5,"AAAAAE3+ezQ=")</f>
        <v>#VALUE!</v>
      </c>
      <c r="BB7" t="e">
        <f>AND(Alt!I5,"AAAAAE3+ezU=")</f>
        <v>#VALUE!</v>
      </c>
      <c r="BC7" t="e">
        <f>AND(Alt!J5,"AAAAAE3+ezY=")</f>
        <v>#VALUE!</v>
      </c>
      <c r="BD7">
        <f>IF(Alt!6:6,"AAAAAE3+ezc=",0)</f>
        <v>0</v>
      </c>
      <c r="BE7" t="e">
        <f>AND(Alt!A6,"AAAAAE3+ezg=")</f>
        <v>#VALUE!</v>
      </c>
      <c r="BF7" t="e">
        <f>AND(Alt!B6,"AAAAAE3+ezk=")</f>
        <v>#VALUE!</v>
      </c>
      <c r="BG7" t="e">
        <f>AND(Alt!C6,"AAAAAE3+ezo=")</f>
        <v>#VALUE!</v>
      </c>
      <c r="BH7" t="e">
        <f>AND(Alt!D6,"AAAAAE3+ezs=")</f>
        <v>#VALUE!</v>
      </c>
      <c r="BI7" t="e">
        <f>AND(Alt!E6,"AAAAAE3+ezw=")</f>
        <v>#VALUE!</v>
      </c>
      <c r="BJ7" t="e">
        <f>AND(Alt!F6,"AAAAAE3+ez0=")</f>
        <v>#VALUE!</v>
      </c>
      <c r="BK7" t="e">
        <f>AND(Alt!G6,"AAAAAE3+ez4=")</f>
        <v>#VALUE!</v>
      </c>
      <c r="BL7" t="e">
        <f>AND(Alt!H6,"AAAAAE3+ez8=")</f>
        <v>#VALUE!</v>
      </c>
      <c r="BM7" t="e">
        <f>AND(Alt!I6,"AAAAAE3+e0A=")</f>
        <v>#VALUE!</v>
      </c>
      <c r="BN7" t="e">
        <f>AND(Alt!J6,"AAAAAE3+e0E=")</f>
        <v>#VALUE!</v>
      </c>
      <c r="BO7">
        <f>IF(Alt!7:7,"AAAAAE3+e0I=",0)</f>
        <v>0</v>
      </c>
      <c r="BP7" t="e">
        <f>AND(Alt!A7,"AAAAAE3+e0M=")</f>
        <v>#VALUE!</v>
      </c>
      <c r="BQ7" t="e">
        <f>AND(Alt!B7,"AAAAAE3+e0Q=")</f>
        <v>#VALUE!</v>
      </c>
      <c r="BR7" t="e">
        <f>AND(Alt!C7,"AAAAAE3+e0U=")</f>
        <v>#VALUE!</v>
      </c>
      <c r="BS7" t="e">
        <f>AND(Alt!D7,"AAAAAE3+e0Y=")</f>
        <v>#VALUE!</v>
      </c>
      <c r="BT7" t="e">
        <f>AND(Alt!E7,"AAAAAE3+e0c=")</f>
        <v>#VALUE!</v>
      </c>
      <c r="BU7" t="e">
        <f>AND(Alt!F7,"AAAAAE3+e0g=")</f>
        <v>#VALUE!</v>
      </c>
      <c r="BV7" t="e">
        <f>AND(Alt!G7,"AAAAAE3+e0k=")</f>
        <v>#VALUE!</v>
      </c>
      <c r="BW7" t="e">
        <f>AND(Alt!H7,"AAAAAE3+e0o=")</f>
        <v>#VALUE!</v>
      </c>
      <c r="BX7" t="e">
        <f>AND(Alt!I7,"AAAAAE3+e0s=")</f>
        <v>#VALUE!</v>
      </c>
      <c r="BY7" t="e">
        <f>AND(Alt!J7,"AAAAAE3+e0w=")</f>
        <v>#VALUE!</v>
      </c>
      <c r="BZ7">
        <f>IF(Alt!8:8,"AAAAAE3+e00=",0)</f>
        <v>0</v>
      </c>
      <c r="CA7" t="e">
        <f>AND(Alt!A8,"AAAAAE3+e04=")</f>
        <v>#VALUE!</v>
      </c>
      <c r="CB7" t="e">
        <f>AND(Alt!B8,"AAAAAE3+e08=")</f>
        <v>#VALUE!</v>
      </c>
      <c r="CC7" t="e">
        <f>AND(Alt!C8,"AAAAAE3+e1A=")</f>
        <v>#VALUE!</v>
      </c>
      <c r="CD7" t="e">
        <f>AND(Alt!D8,"AAAAAE3+e1E=")</f>
        <v>#VALUE!</v>
      </c>
      <c r="CE7" t="e">
        <f>AND(Alt!E8,"AAAAAE3+e1I=")</f>
        <v>#VALUE!</v>
      </c>
      <c r="CF7" t="e">
        <f>AND(Alt!F8,"AAAAAE3+e1M=")</f>
        <v>#VALUE!</v>
      </c>
      <c r="CG7" t="e">
        <f>AND(Alt!G8,"AAAAAE3+e1Q=")</f>
        <v>#VALUE!</v>
      </c>
      <c r="CH7" t="e">
        <f>AND(Alt!H8,"AAAAAE3+e1U=")</f>
        <v>#VALUE!</v>
      </c>
      <c r="CI7" t="e">
        <f>AND(Alt!I8,"AAAAAE3+e1Y=")</f>
        <v>#VALUE!</v>
      </c>
      <c r="CJ7" t="e">
        <f>AND(Alt!J8,"AAAAAE3+e1c=")</f>
        <v>#VALUE!</v>
      </c>
      <c r="CK7">
        <f>IF(Alt!9:9,"AAAAAE3+e2M=",0)</f>
        <v>0</v>
      </c>
      <c r="CL7" t="e">
        <f>AND(Alt!A9,"AAAAAE3+e2Q=")</f>
        <v>#VALUE!</v>
      </c>
      <c r="CM7" t="e">
        <f>AND(Alt!B9,"AAAAAE3+e2U=")</f>
        <v>#VALUE!</v>
      </c>
      <c r="CN7" t="e">
        <f>AND(Alt!C9,"AAAAAE3+e2Y=")</f>
        <v>#VALUE!</v>
      </c>
      <c r="CO7" t="e">
        <f>AND(Alt!D9,"AAAAAE3+e2c=")</f>
        <v>#VALUE!</v>
      </c>
      <c r="CP7" t="e">
        <f>AND(Alt!E9,"AAAAAE3+e2g=")</f>
        <v>#VALUE!</v>
      </c>
      <c r="CQ7" t="e">
        <f>AND(Alt!F9,"AAAAAE3+e2k=")</f>
        <v>#VALUE!</v>
      </c>
      <c r="CR7" t="e">
        <f>AND(Alt!G9,"AAAAAE3+e2o=")</f>
        <v>#VALUE!</v>
      </c>
      <c r="CS7" t="e">
        <f>AND(Alt!H9,"AAAAAE3+e2s=")</f>
        <v>#VALUE!</v>
      </c>
      <c r="CT7" t="e">
        <f>AND(Alt!I9,"AAAAAE3+e2w=")</f>
        <v>#VALUE!</v>
      </c>
      <c r="CU7" t="e">
        <f>AND(Alt!J9,"AAAAAE3+e20=")</f>
        <v>#VALUE!</v>
      </c>
      <c r="CV7">
        <f>IF(Alt!10:10,"AAAAAE3+e24=",0)</f>
        <v>0</v>
      </c>
      <c r="CW7" t="e">
        <f>AND(Alt!A10,"AAAAAE3+e28=")</f>
        <v>#VALUE!</v>
      </c>
      <c r="CX7" t="e">
        <f>AND(Alt!B10,"AAAAAE3+e3A=")</f>
        <v>#VALUE!</v>
      </c>
      <c r="CY7" t="e">
        <f>AND(Alt!C10,"AAAAAE3+e3E=")</f>
        <v>#VALUE!</v>
      </c>
      <c r="CZ7" t="e">
        <f>AND(Alt!D10,"AAAAAE3+e3I=")</f>
        <v>#VALUE!</v>
      </c>
      <c r="DA7" t="e">
        <f>AND(Alt!E10,"AAAAAE3+e3M=")</f>
        <v>#VALUE!</v>
      </c>
      <c r="DB7" t="e">
        <f>AND(Alt!F10,"AAAAAE3+e3Q=")</f>
        <v>#VALUE!</v>
      </c>
      <c r="DC7" t="e">
        <f>AND(Alt!G10,"AAAAAE3+e3U=")</f>
        <v>#VALUE!</v>
      </c>
      <c r="DD7" t="e">
        <f>AND(Alt!H10,"AAAAAE3+e3Y=")</f>
        <v>#VALUE!</v>
      </c>
      <c r="DE7" t="e">
        <f>AND(Alt!I10,"AAAAAE3+e3c=")</f>
        <v>#VALUE!</v>
      </c>
      <c r="DF7" t="e">
        <f>AND(Alt!J10,"AAAAAE3+e3g=")</f>
        <v>#VALUE!</v>
      </c>
      <c r="DG7">
        <f>IF(Alt!11:11,"AAAAAE3+e3k=",0)</f>
        <v>0</v>
      </c>
      <c r="DH7" t="e">
        <f>AND(Alt!A11,"AAAAAE3+e3o=")</f>
        <v>#VALUE!</v>
      </c>
      <c r="DI7" t="e">
        <f>AND(Alt!B11,"AAAAAE3+e3s=")</f>
        <v>#VALUE!</v>
      </c>
      <c r="DJ7" t="e">
        <f>AND(Alt!C11,"AAAAAE3+e3w=")</f>
        <v>#VALUE!</v>
      </c>
      <c r="DK7" t="e">
        <f>AND(Alt!D11,"AAAAAE3+e30=")</f>
        <v>#VALUE!</v>
      </c>
      <c r="DL7" t="e">
        <f>AND(Alt!E11,"AAAAAE3+e34=")</f>
        <v>#VALUE!</v>
      </c>
      <c r="DM7" t="e">
        <f>AND(Alt!F11,"AAAAAE3+e38=")</f>
        <v>#VALUE!</v>
      </c>
      <c r="DN7" t="e">
        <f>AND(Alt!G11,"AAAAAE3+e4A=")</f>
        <v>#VALUE!</v>
      </c>
      <c r="DO7" t="e">
        <f>AND(Alt!H11,"AAAAAE3+e4E=")</f>
        <v>#VALUE!</v>
      </c>
      <c r="DP7" t="e">
        <f>AND(Alt!I11,"AAAAAE3+e4I=")</f>
        <v>#VALUE!</v>
      </c>
      <c r="DQ7" t="e">
        <f>AND(Alt!J11,"AAAAAE3+e4M=")</f>
        <v>#VALUE!</v>
      </c>
      <c r="DR7">
        <f>IF(Alt!12:12,"AAAAACef+QA=",0)</f>
        <v>0</v>
      </c>
      <c r="DS7" t="e">
        <f>AND(Alt!A12,"AAAAACef+QE=")</f>
        <v>#VALUE!</v>
      </c>
      <c r="DT7" t="e">
        <f>AND(Alt!B12,"AAAAACef+QI=")</f>
        <v>#VALUE!</v>
      </c>
      <c r="DU7" t="e">
        <f>AND(Alt!C12,"AAAAACef+QM=")</f>
        <v>#VALUE!</v>
      </c>
      <c r="DV7" t="e">
        <f>AND(Alt!D12,"AAAAACef+QQ=")</f>
        <v>#VALUE!</v>
      </c>
      <c r="DW7" t="e">
        <f>AND(Alt!E12,"AAAAACef+QU=")</f>
        <v>#VALUE!</v>
      </c>
      <c r="DX7" t="e">
        <f>AND(Alt!F12,"AAAAACef+QY=")</f>
        <v>#VALUE!</v>
      </c>
      <c r="DY7" t="e">
        <f>AND(Alt!G12,"AAAAACef+Qc=")</f>
        <v>#VALUE!</v>
      </c>
      <c r="DZ7" t="e">
        <f>AND(Alt!H12,"AAAAACef+Qg=")</f>
        <v>#VALUE!</v>
      </c>
      <c r="EA7" t="e">
        <f>AND(Alt!I12,"AAAAACef+Qk=")</f>
        <v>#VALUE!</v>
      </c>
      <c r="EB7" t="e">
        <f>AND(Alt!J12,"AAAAAHN7/wA=")</f>
        <v>#VALUE!</v>
      </c>
      <c r="EC7">
        <f>IF(Alt!13:13,"AAAAAE3+e4Q=",0)</f>
        <v>0</v>
      </c>
      <c r="ED7" t="e">
        <f>AND(Alt!A13,"AAAAAE3+e4U=")</f>
        <v>#VALUE!</v>
      </c>
      <c r="EE7" t="e">
        <f>AND(Alt!B13,"AAAAAE3+e4Y=")</f>
        <v>#VALUE!</v>
      </c>
      <c r="EF7" t="e">
        <f>AND(Alt!C13,"AAAAAE3+e4c=")</f>
        <v>#VALUE!</v>
      </c>
      <c r="EG7" t="e">
        <f>AND(Alt!D13,"AAAAAE3+e4g=")</f>
        <v>#VALUE!</v>
      </c>
      <c r="EH7" t="e">
        <f>AND(Alt!E13,"AAAAAE3+e4k=")</f>
        <v>#VALUE!</v>
      </c>
      <c r="EI7" t="e">
        <f>AND(Alt!F13,"AAAAAE3+e4o=")</f>
        <v>#VALUE!</v>
      </c>
      <c r="EJ7" t="e">
        <f>AND(Alt!G13,"AAAAAE3+e4s=")</f>
        <v>#VALUE!</v>
      </c>
      <c r="EK7" t="e">
        <f>AND(Alt!H13,"AAAAAE3+e4w=")</f>
        <v>#VALUE!</v>
      </c>
      <c r="EL7" t="e">
        <f>AND(Alt!I13,"AAAAAE3+e40=")</f>
        <v>#VALUE!</v>
      </c>
      <c r="EM7" t="e">
        <f>AND(Alt!J13,"AAAAAE3+e44=")</f>
        <v>#VALUE!</v>
      </c>
      <c r="EN7">
        <f>IF(Alt!14:14,"AAAAAE3+e48=",0)</f>
        <v>0</v>
      </c>
      <c r="EO7" t="e">
        <f>AND(Alt!A14,"AAAAAE3+e5A=")</f>
        <v>#VALUE!</v>
      </c>
      <c r="EP7" t="e">
        <f>AND(Alt!B14,"AAAAAE3+e5E=")</f>
        <v>#VALUE!</v>
      </c>
      <c r="EQ7" t="e">
        <f>AND(Alt!C14,"AAAAAE3+e5I=")</f>
        <v>#VALUE!</v>
      </c>
      <c r="ER7" t="e">
        <f>AND(Alt!D14,"AAAAAE3+e5M=")</f>
        <v>#VALUE!</v>
      </c>
      <c r="ES7" t="e">
        <f>AND(Alt!E14,"AAAAAE3+e5Q=")</f>
        <v>#VALUE!</v>
      </c>
      <c r="ET7" t="e">
        <f>AND(Alt!F14,"AAAAAE3+e5U=")</f>
        <v>#VALUE!</v>
      </c>
      <c r="EU7" t="e">
        <f>AND(Alt!G14,"AAAAAE3+e5Y=")</f>
        <v>#VALUE!</v>
      </c>
      <c r="EV7" t="e">
        <f>AND(Alt!H14,"AAAAAE3+e5c=")</f>
        <v>#VALUE!</v>
      </c>
      <c r="EW7" t="e">
        <f>AND(Alt!I14,"AAAAAE3+e5g=")</f>
        <v>#VALUE!</v>
      </c>
      <c r="EX7" t="e">
        <f>AND(Alt!J14,"AAAAAE3+e5k=")</f>
        <v>#VALUE!</v>
      </c>
      <c r="EY7">
        <f>IF('DV-PURGATORY-Horizontal-0'!1:1,"AAAAAHN7/wE=",0)</f>
        <v>0</v>
      </c>
      <c r="EZ7" t="e">
        <f>AND('DV-PURGATORY-Horizontal-0'!A1,"AAAAAE3+e5s=")</f>
        <v>#VALUE!</v>
      </c>
      <c r="FA7" t="e">
        <f>AND('DV-PURGATORY-Horizontal-0'!B1,"AAAAAE3+e5w=")</f>
        <v>#VALUE!</v>
      </c>
      <c r="FB7" t="e">
        <f>AND('DV-PURGATORY-Horizontal-0'!C1,"AAAAAE3+e50=")</f>
        <v>#VALUE!</v>
      </c>
      <c r="FC7" t="e">
        <f>AND('DV-PURGATORY-Horizontal-0'!D1,"AAAAAE3+e54=")</f>
        <v>#VALUE!</v>
      </c>
      <c r="FD7" t="e">
        <f>AND('DV-PURGATORY-Horizontal-0'!E1,"AAAAAE3+e58=")</f>
        <v>#VALUE!</v>
      </c>
      <c r="FE7" t="e">
        <f>AND('DV-PURGATORY-Horizontal-0'!F1,"AAAAAE3+e6A=")</f>
        <v>#VALUE!</v>
      </c>
      <c r="FF7" t="e">
        <f>AND('DV-PURGATORY-Horizontal-0'!G1,"AAAAAE3+e6E=")</f>
        <v>#VALUE!</v>
      </c>
      <c r="FG7" t="e">
        <f>AND('DV-PURGATORY-Horizontal-0'!H1,"AAAAAE3+e6I=")</f>
        <v>#VALUE!</v>
      </c>
      <c r="FH7" t="e">
        <f>AND('DV-PURGATORY-Horizontal-0'!I1,"AAAAAE3+e6M=")</f>
        <v>#VALUE!</v>
      </c>
      <c r="FI7" t="e">
        <f>AND('DV-PURGATORY-Horizontal-0'!J1,"AAAAAE3+e6Q=")</f>
        <v>#VALUE!</v>
      </c>
      <c r="FJ7">
        <f>IF(Alt!15:15,"AAAAAE3+e7A=",0)</f>
        <v>0</v>
      </c>
      <c r="FK7" t="e">
        <f>AND(Alt!A15,"AAAAAE3+e7E=")</f>
        <v>#VALUE!</v>
      </c>
      <c r="FL7" t="e">
        <f>AND(Alt!B15,"AAAAAE3+e7I=")</f>
        <v>#VALUE!</v>
      </c>
      <c r="FM7" t="e">
        <f>AND(Alt!C15,"AAAAAE3+e7M=")</f>
        <v>#VALUE!</v>
      </c>
      <c r="FN7" t="e">
        <f>AND(Alt!D15,"AAAAAE3+e7Q=")</f>
        <v>#VALUE!</v>
      </c>
      <c r="FO7" t="e">
        <f>AND(Alt!E15,"AAAAAE3+e7U=")</f>
        <v>#VALUE!</v>
      </c>
      <c r="FP7" t="e">
        <f>AND(Alt!F15,"AAAAAE3+e7Y=")</f>
        <v>#VALUE!</v>
      </c>
      <c r="FQ7" t="e">
        <f>AND(Alt!G15,"AAAAAE3+e7c=")</f>
        <v>#VALUE!</v>
      </c>
      <c r="FR7" t="e">
        <f>AND(Alt!H15,"AAAAAE3+e7g=")</f>
        <v>#VALUE!</v>
      </c>
      <c r="FS7" t="e">
        <f>AND(Alt!I15,"AAAAAE3+e7k=")</f>
        <v>#VALUE!</v>
      </c>
      <c r="FT7" t="e">
        <f>AND(Alt!J15,"AAAAAE3+e7o=")</f>
        <v>#VALUE!</v>
      </c>
      <c r="FU7">
        <f>IF(Alt!16:16,"AAAAAHN7/wI=",0)</f>
        <v>0</v>
      </c>
      <c r="FV7" t="e">
        <f>AND(Alt!A16,"AAAAAE3+e7w=")</f>
        <v>#VALUE!</v>
      </c>
      <c r="FW7" t="e">
        <f>AND(Alt!B16,"AAAAAE3+e70=")</f>
        <v>#VALUE!</v>
      </c>
      <c r="FX7" t="e">
        <f>AND(Alt!C16,"AAAAAE3+e74=")</f>
        <v>#VALUE!</v>
      </c>
      <c r="FY7" t="e">
        <f>AND(Alt!D16,"AAAAAE3+e78=")</f>
        <v>#VALUE!</v>
      </c>
      <c r="FZ7" t="e">
        <f>AND(Alt!E16,"AAAAAE3+e8A=")</f>
        <v>#VALUE!</v>
      </c>
      <c r="GA7" t="e">
        <f>AND(Alt!F16,"AAAAAE3+e8E=")</f>
        <v>#VALUE!</v>
      </c>
      <c r="GB7" t="e">
        <f>AND(Alt!G16,"AAAAAE3+e8I=")</f>
        <v>#VALUE!</v>
      </c>
      <c r="GC7" t="e">
        <f>AND(Alt!H16,"AAAAAE3+e8M=")</f>
        <v>#VALUE!</v>
      </c>
      <c r="GD7" t="e">
        <f>AND(Alt!I16,"AAAAAE3+e8Q=")</f>
        <v>#VALUE!</v>
      </c>
      <c r="GE7" t="e">
        <f>AND(Alt!J16,"AAAAAE3+e8U=")</f>
        <v>#VALUE!</v>
      </c>
      <c r="GF7">
        <f>IF(Alt!17:17,"AAAAAE3+e8Y=",0)</f>
        <v>0</v>
      </c>
      <c r="GG7" t="e">
        <f>AND(Alt!A17,"AAAAAE3+e8c=")</f>
        <v>#VALUE!</v>
      </c>
      <c r="GH7" t="e">
        <f>AND(Alt!B17,"AAAAAE3+e8g=")</f>
        <v>#VALUE!</v>
      </c>
      <c r="GI7" t="e">
        <f>AND(Alt!C17,"AAAAAE3+e8k=")</f>
        <v>#VALUE!</v>
      </c>
      <c r="GJ7" t="e">
        <f>AND(Alt!D17,"AAAAAE3+e8o=")</f>
        <v>#VALUE!</v>
      </c>
      <c r="GK7" t="e">
        <f>AND(Alt!E17,"AAAAAE3+e8s=")</f>
        <v>#VALUE!</v>
      </c>
      <c r="GL7" t="e">
        <f>AND(Alt!F17,"AAAAAE3+e8w=")</f>
        <v>#VALUE!</v>
      </c>
      <c r="GM7" t="e">
        <f>AND(Alt!G17,"AAAAAE3+e80=")</f>
        <v>#VALUE!</v>
      </c>
      <c r="GN7" t="e">
        <f>AND(Alt!H17,"AAAAAE3+e84=")</f>
        <v>#VALUE!</v>
      </c>
      <c r="GO7" t="e">
        <f>AND(Alt!I17,"AAAAAE3+e88=")</f>
        <v>#VALUE!</v>
      </c>
      <c r="GP7" t="e">
        <f>AND(Alt!J17,"AAAAAE3+e9A=")</f>
        <v>#VALUE!</v>
      </c>
      <c r="GQ7">
        <f>IF(Alt!18:18,"AAAAAE3+e9E=",0)</f>
        <v>0</v>
      </c>
      <c r="GR7" t="e">
        <f>AND(Alt!A18,"AAAAAE3+e9I=")</f>
        <v>#VALUE!</v>
      </c>
      <c r="GS7" t="e">
        <f>AND(Alt!B18,"AAAAAE3+e9M=")</f>
        <v>#VALUE!</v>
      </c>
      <c r="GT7" t="e">
        <f>AND(Alt!C18,"AAAAAE3+e9Q=")</f>
        <v>#VALUE!</v>
      </c>
      <c r="GU7" t="e">
        <f>AND(Alt!D18,"AAAAAE3+e9U=")</f>
        <v>#VALUE!</v>
      </c>
      <c r="GV7" t="e">
        <f>AND(Alt!E18,"AAAAAE3+e9Y=")</f>
        <v>#VALUE!</v>
      </c>
      <c r="GW7" t="e">
        <f>AND(Alt!F18,"AAAAAE3+e9c=")</f>
        <v>#VALUE!</v>
      </c>
      <c r="GX7" t="e">
        <f>AND(Alt!G18,"AAAAAE3+e9g=")</f>
        <v>#VALUE!</v>
      </c>
      <c r="GY7" t="e">
        <f>AND(Alt!H18,"AAAAAE3+e9k=")</f>
        <v>#VALUE!</v>
      </c>
      <c r="GZ7" t="e">
        <f>AND(Alt!I18,"AAAAAE3+e9o=")</f>
        <v>#VALUE!</v>
      </c>
      <c r="HA7" t="e">
        <f>AND(Alt!J18,"AAAAAE3+e9s=")</f>
        <v>#VALUE!</v>
      </c>
      <c r="HB7">
        <f>IF(Alt!19:19,"AAAAAE3+e9w=",0)</f>
        <v>0</v>
      </c>
      <c r="HC7" t="e">
        <f>AND(Alt!A19,"AAAAAE3+e90=")</f>
        <v>#VALUE!</v>
      </c>
      <c r="HD7" t="e">
        <f>AND(Alt!B19,"AAAAAE3+e94=")</f>
        <v>#VALUE!</v>
      </c>
      <c r="HE7" t="e">
        <f>AND(Alt!C19,"AAAAAE3+e98=")</f>
        <v>#VALUE!</v>
      </c>
      <c r="HF7" t="e">
        <f>AND(Alt!D19,"AAAAAE3+e+A=")</f>
        <v>#VALUE!</v>
      </c>
      <c r="HG7" t="e">
        <f>AND(Alt!E19,"AAAAAE3+e+E=")</f>
        <v>#VALUE!</v>
      </c>
      <c r="HH7" t="e">
        <f>AND(Alt!F19,"AAAAAE3+e+I=")</f>
        <v>#VALUE!</v>
      </c>
      <c r="HI7" t="e">
        <f>AND(Alt!G19,"AAAAAE3+e+M=")</f>
        <v>#VALUE!</v>
      </c>
      <c r="HJ7" t="e">
        <f>AND(Alt!H19,"AAAAAE3+e+Q=")</f>
        <v>#VALUE!</v>
      </c>
      <c r="HK7" t="e">
        <f>AND(Alt!I19,"AAAAAE3+e+U=")</f>
        <v>#VALUE!</v>
      </c>
      <c r="HL7" t="e">
        <f>AND(Alt!J19,"AAAAAE3+e+Y=")</f>
        <v>#VALUE!</v>
      </c>
      <c r="HM7">
        <f>IF(Alt!20:20,"AAAAAE3+e+c=",0)</f>
        <v>0</v>
      </c>
      <c r="HN7" t="e">
        <f>AND(Alt!A20,"AAAAAE3+e+g=")</f>
        <v>#VALUE!</v>
      </c>
      <c r="HO7" t="e">
        <f>AND(Alt!B20,"AAAAAE3+e+k=")</f>
        <v>#VALUE!</v>
      </c>
      <c r="HP7" t="e">
        <f>AND(Alt!C20,"AAAAAE3+e+o=")</f>
        <v>#VALUE!</v>
      </c>
      <c r="HQ7" t="e">
        <f>AND(Alt!D20,"AAAAAE3+e+s=")</f>
        <v>#VALUE!</v>
      </c>
      <c r="HR7" t="e">
        <f>AND(Alt!E20,"AAAAAE3+e+w=")</f>
        <v>#VALUE!</v>
      </c>
      <c r="HS7" t="e">
        <f>AND(Alt!F20,"AAAAAE3+e+0=")</f>
        <v>#VALUE!</v>
      </c>
      <c r="HT7" t="e">
        <f>AND(Alt!G20,"AAAAAE3+e+4=")</f>
        <v>#VALUE!</v>
      </c>
      <c r="HU7" t="e">
        <f>AND(Alt!H20,"AAAAAE3+e+8=")</f>
        <v>#VALUE!</v>
      </c>
      <c r="HV7" t="e">
        <f>AND(Alt!I20,"AAAAAE3+e/A=")</f>
        <v>#VALUE!</v>
      </c>
      <c r="HW7" t="e">
        <f>AND(Alt!J20,"AAAAAE3+e/E=")</f>
        <v>#VALUE!</v>
      </c>
      <c r="HX7">
        <f>IF(Alt!21:21,"AAAAAE3+e/I=",0)</f>
        <v>0</v>
      </c>
      <c r="HY7" t="e">
        <f>AND(Alt!A21,"AAAAAE3+e/M=")</f>
        <v>#VALUE!</v>
      </c>
      <c r="HZ7" t="e">
        <f>AND(Alt!B21,"AAAAAE3+e/Q=")</f>
        <v>#VALUE!</v>
      </c>
      <c r="IA7" t="e">
        <f>AND(Alt!C21,"AAAAAE3+e/U=")</f>
        <v>#VALUE!</v>
      </c>
      <c r="IB7" t="e">
        <f>AND(Alt!D21,"AAAAAE3+e/Y=")</f>
        <v>#VALUE!</v>
      </c>
      <c r="IC7" t="e">
        <f>AND(Alt!E21,"AAAAAE3+e/c=")</f>
        <v>#VALUE!</v>
      </c>
      <c r="ID7" t="e">
        <f>AND(Alt!F21,"AAAAAE3+e/g=")</f>
        <v>#VALUE!</v>
      </c>
      <c r="IE7" t="e">
        <f>AND(Alt!G21,"AAAAAE3+e/k=")</f>
        <v>#VALUE!</v>
      </c>
      <c r="IF7" t="e">
        <f>AND(Alt!H21,"AAAAAE3+e/o=")</f>
        <v>#VALUE!</v>
      </c>
      <c r="IG7" t="e">
        <f>AND(Alt!I21,"AAAAAE3+e/s=")</f>
        <v>#VALUE!</v>
      </c>
      <c r="IH7" t="e">
        <f>AND(Alt!J21,"AAAAAE3+e/w=")</f>
        <v>#VALUE!</v>
      </c>
      <c r="II7">
        <f>IF(Alt!22:22,"AAAAAE3+e/0=",0)</f>
        <v>0</v>
      </c>
      <c r="IJ7" t="e">
        <f>AND(Alt!A22,"AAAAAE3+e/4=")</f>
        <v>#VALUE!</v>
      </c>
      <c r="IK7" t="e">
        <f>AND(Alt!B22,"AAAAAE3+e/8=")</f>
        <v>#VALUE!</v>
      </c>
      <c r="IL7" t="e">
        <f>AND(Alt!C22,"AAAAAHby7QA=")</f>
        <v>#VALUE!</v>
      </c>
      <c r="IM7" t="e">
        <f>AND(Alt!D22,"AAAAAHby7QE=")</f>
        <v>#VALUE!</v>
      </c>
      <c r="IN7" t="e">
        <f>AND(Alt!E22,"AAAAAHby7QI=")</f>
        <v>#VALUE!</v>
      </c>
      <c r="IO7" t="e">
        <f>AND(Alt!F22,"AAAAAHby7QM=")</f>
        <v>#VALUE!</v>
      </c>
      <c r="IP7" t="e">
        <f>AND(Alt!G22,"AAAAAHby7QQ=")</f>
        <v>#VALUE!</v>
      </c>
      <c r="IQ7" t="e">
        <f>AND(Alt!H22,"AAAAAHby7QU=")</f>
        <v>#VALUE!</v>
      </c>
      <c r="IR7" t="e">
        <f>AND(Alt!I22,"AAAAAHby7QY=")</f>
        <v>#VALUE!</v>
      </c>
      <c r="IS7" t="e">
        <f>AND(Alt!J22,"AAAAAHby7Qc=")</f>
        <v>#VALUE!</v>
      </c>
      <c r="IT7">
        <f>IF(Alt!23:23,"AAAAAHby7Qg=",0)</f>
        <v>0</v>
      </c>
      <c r="IU7" t="e">
        <f>AND(Alt!A23,"AAAAAHby7Qk=")</f>
        <v>#VALUE!</v>
      </c>
      <c r="IV7" t="e">
        <f>AND(Alt!B23,"AAAAAHby7Qo=")</f>
        <v>#VALUE!</v>
      </c>
    </row>
    <row r="8" spans="1:22" ht="15">
      <c r="A8" t="e">
        <f>AND(Alt!C23,"AAAAAHby7Qs=")</f>
        <v>#VALUE!</v>
      </c>
      <c r="B8" t="e">
        <f>AND(Alt!D23,"AAAAAHby7Qw=")</f>
        <v>#VALUE!</v>
      </c>
      <c r="C8" t="e">
        <f>AND(Alt!E23,"AAAAAHby7Q0=")</f>
        <v>#VALUE!</v>
      </c>
      <c r="D8" t="e">
        <f>AND(Alt!F23,"AAAAAHby7Q4=")</f>
        <v>#VALUE!</v>
      </c>
      <c r="E8" t="e">
        <f>AND(Alt!G23,"AAAAAHby7Q8=")</f>
        <v>#VALUE!</v>
      </c>
      <c r="F8" t="e">
        <f>AND(Alt!H23,"AAAAAHby7RA=")</f>
        <v>#VALUE!</v>
      </c>
      <c r="G8" t="e">
        <f>AND(Alt!I23,"AAAAAHby7RE=")</f>
        <v>#VALUE!</v>
      </c>
      <c r="H8" t="e">
        <f>AND(Alt!J23,"AAAAAHby7RI=")</f>
        <v>#VALUE!</v>
      </c>
      <c r="I8">
        <f>IF(Alt!24:24,"AAAAAHby7RM=",0)</f>
        <v>0</v>
      </c>
      <c r="J8">
        <f>IF(Alt!25:25,"AAAAAHby7RQ=",0)</f>
        <v>0</v>
      </c>
      <c r="K8">
        <f>IF(Alt!26:26,"AAAAAHby7RU=",0)</f>
        <v>0</v>
      </c>
      <c r="L8">
        <f>IF(Alt!27:27,"AAAAAHby7RY=",0)</f>
        <v>0</v>
      </c>
      <c r="M8" t="e">
        <f>IF(Alt!A:A,"AAAAAHby7Rc=",0)</f>
        <v>#VALUE!</v>
      </c>
      <c r="N8" t="str">
        <f>IF(Alt!B:B,"AAAAAHby7Rg=",0)</f>
        <v>AAAAAHby7Rg=</v>
      </c>
      <c r="O8" t="str">
        <f>IF(Alt!C:C,"AAAAAHby7Rk=",0)</f>
        <v>AAAAAHby7Rk=</v>
      </c>
      <c r="P8" t="str">
        <f>IF(Alt!D:D,"AAAAAHby7Ro=",0)</f>
        <v>AAAAAHby7Ro=</v>
      </c>
      <c r="Q8">
        <f>IF(Alt!E:E,"AAAAAHby7Rs=",0)</f>
        <v>0</v>
      </c>
      <c r="R8" t="e">
        <f>IF(Alt!F:F,"AAAAAHby7Rw=",0)</f>
        <v>#VALUE!</v>
      </c>
      <c r="S8" t="e">
        <f>IF(Alt!G:G,"AAAAAHby7R0=",0)</f>
        <v>#VALUE!</v>
      </c>
      <c r="T8" t="e">
        <f>IF(Alt!H:H,"AAAAAHby7R4=",0)</f>
        <v>#VALUE!</v>
      </c>
      <c r="U8" t="e">
        <f>IF(Alt!I:I,"AAAAAHby7R8=",0)</f>
        <v>#VALUE!</v>
      </c>
      <c r="V8">
        <f>IF(Alt!J:J,"AAAAAHby7SA=",0)</f>
        <v>0</v>
      </c>
    </row>
  </sheetData>
  <sheetProtection selectLockedCells="1" selectUnlockedCells="1"/>
  <printOptions/>
  <pageMargins left="0.7" right="0.7" top="0.7875" bottom="0.7875" header="0.5118055555555555" footer="0.5118055555555555"/>
  <pageSetup horizontalDpi="300" verticalDpi="300" orientation="portrait" paperSize="9"/>
  <customProperties>
    <customPr name="DVSECTIONID" r:id="rId1"/>
  </customProperties>
</worksheet>
</file>

<file path=xl/worksheets/sheet6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1" sqref="A1"/>
    </sheetView>
  </sheetViews>
  <sheetFormatPr defaultColWidth="11.421875" defaultRowHeight="15"/>
  <sheetData>
    <row r="1" spans="1:10" s="37" customFormat="1" ht="15">
      <c r="A1" s="52" t="s">
        <v>13</v>
      </c>
      <c r="B1" s="53">
        <v>40761</v>
      </c>
      <c r="C1" s="54"/>
      <c r="D1" s="55"/>
      <c r="E1" s="55"/>
      <c r="F1" s="52" t="s">
        <v>79</v>
      </c>
      <c r="G1" s="52" t="s">
        <v>80</v>
      </c>
      <c r="H1" s="52" t="s">
        <v>81</v>
      </c>
      <c r="I1" s="52" t="s">
        <v>17</v>
      </c>
      <c r="J1" s="57"/>
    </row>
    <row r="2" ht="15">
      <c r="A2" t="s">
        <v>83</v>
      </c>
    </row>
  </sheetData>
  <sheetProtection/>
  <printOptions/>
  <pageMargins left="0.7" right="0.7" top="0.787401575" bottom="0.787401575" header="0.3" footer="0.3"/>
  <pageSetup orientation="portrait" paperSize="9"/>
  <customProperties>
    <customPr name="DVSECTION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Köper</dc:creator>
  <cp:keywords/>
  <dc:description/>
  <cp:lastModifiedBy>Mike Köper</cp:lastModifiedBy>
  <cp:lastPrinted>2011-11-16T19:54:08Z</cp:lastPrinted>
  <dcterms:created xsi:type="dcterms:W3CDTF">2011-05-07T16:51:30Z</dcterms:created>
  <dcterms:modified xsi:type="dcterms:W3CDTF">2011-11-29T11:33:02Z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oogle.Documents.DocumentId">
    <vt:lpwstr>1guxP21Zy0Mxc3TMi3G4RSLO9PX68B4TjkbiC60WssRU</vt:lpwstr>
  </property>
  <property fmtid="{D5CDD505-2E9C-101B-9397-08002B2CF9AE}" pid="3" name="Google.Documents.MergeIncapabilityFlags">
    <vt:i4>0</vt:i4>
  </property>
  <property fmtid="{D5CDD505-2E9C-101B-9397-08002B2CF9AE}" pid="4" name="Google.Documents.PluginVersion">
    <vt:lpwstr>2.0.2026.3768</vt:lpwstr>
  </property>
  <property fmtid="{D5CDD505-2E9C-101B-9397-08002B2CF9AE}" pid="5" name="Google.Documents.PreviousRevisionId">
    <vt:lpwstr>17150025259930323263</vt:lpwstr>
  </property>
  <property fmtid="{D5CDD505-2E9C-101B-9397-08002B2CF9AE}" pid="6" name="Google.Documents.RevisionId">
    <vt:lpwstr>05195742260035825708</vt:lpwstr>
  </property>
  <property fmtid="{D5CDD505-2E9C-101B-9397-08002B2CF9AE}" pid="7" name="Google.Documents.Tracking">
    <vt:lpwstr>false</vt:lpwstr>
  </property>
</Properties>
</file>